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p54-p54\"/>
    </mc:Choice>
  </mc:AlternateContent>
  <xr:revisionPtr revIDLastSave="0" documentId="13_ncr:1_{CEA2F715-3493-4D66-A8A6-81E982F569E2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tabilito" sheetId="6" r:id="rId1"/>
    <sheet name="Trajecto" sheetId="1" r:id="rId2"/>
    <sheet name="Courbes" sheetId="2" r:id="rId3"/>
    <sheet name="Propu" sheetId="4" r:id="rId4"/>
    <sheet name="Calculs" sheetId="3" r:id="rId5"/>
    <sheet name="Abaco" sheetId="8" r:id="rId6"/>
    <sheet name="Info" sheetId="5" r:id="rId7"/>
    <sheet name="Controle" sheetId="7" r:id="rId8"/>
  </sheets>
  <definedNames>
    <definedName name="_xlnm._FilterDatabase" localSheetId="3" hidden="1">Propu!$O$317:$P$345</definedName>
    <definedName name="a_prop">Abaco!$G$41:$G$67</definedName>
    <definedName name="Acc_max">Trajecto!$L$24</definedName>
    <definedName name="acc_x">Calculs!$D$4:$D$1004</definedName>
    <definedName name="acc_xz">Calculs!$F$4:$F$1004</definedName>
    <definedName name="acc_z">Calculs!$E$4:$E$1004</definedName>
    <definedName name="Alt_para">Trajecto!$I$27</definedName>
    <definedName name="alt_prop">Abaco!$J$41:$J$67</definedName>
    <definedName name="Alt_rampe">Trajecto!$C$20</definedName>
    <definedName name="Alt_sat">Trajecto!$I$25</definedName>
    <definedName name="Altitude_culmi">Trajecto!$I$26</definedName>
    <definedName name="b_bal">Abaco!$I$41:$I$67</definedName>
    <definedName name="b_prop">Abaco!$H$41:$H$67</definedName>
    <definedName name="Beta">Calculs!$M$4:$M$1004</definedName>
    <definedName name="Beta_rampe">Trajecto!$C$19</definedName>
    <definedName name="BetaD">Calculs!$N$4:$N$1004</definedName>
    <definedName name="CdP">Propu!$B$3:$Y$4</definedName>
    <definedName name="CdP_P">Propu!$B$4:$Y$4</definedName>
    <definedName name="CdP_t">Propu!$B$3:$Y$3</definedName>
    <definedName name="Club">Stabilito!$C$9</definedName>
    <definedName name="Cn">Stabilito!$H$28</definedName>
    <definedName name="Cn0">Stabilito!$I$28</definedName>
    <definedName name="Cnai" localSheetId="0">Stabilito!$O$19</definedName>
    <definedName name="Cnai0">Stabilito!$P$19</definedName>
    <definedName name="Cnail" localSheetId="0">Stabilito!$O$20</definedName>
    <definedName name="Cnc" localSheetId="0">Stabilito!$O$21</definedName>
    <definedName name="Cni" localSheetId="0">Stabilito!$O$22</definedName>
    <definedName name="Cni0">Stabilito!$P$22</definedName>
    <definedName name="Cnj" localSheetId="0">Stabilito!$O$23</definedName>
    <definedName name="Cno" localSheetId="0">Stabilito!$O$18</definedName>
    <definedName name="Cnr" localSheetId="0">Stabilito!$O$24</definedName>
    <definedName name="Combustion">Propu!$X$2</definedName>
    <definedName name="CritCnmax" localSheetId="0">Stabilito!$J$28</definedName>
    <definedName name="CritCnmin" localSheetId="0">Stabilito!$G$28</definedName>
    <definedName name="CritFinessemax" localSheetId="0">Stabilito!$J$27</definedName>
    <definedName name="CritFinessemin" localSheetId="0">Stabilito!$G$27</definedName>
    <definedName name="CritMsCnmax" localSheetId="0">Stabilito!$J$30</definedName>
    <definedName name="CritMsCnmin" localSheetId="0">Stabilito!$G$30</definedName>
    <definedName name="CritMsmax" localSheetId="0">Stabilito!$J$29</definedName>
    <definedName name="CritMsmin" localSheetId="0">Stabilito!$G$29</definedName>
    <definedName name="Cx">Trajecto!$C$15</definedName>
    <definedName name="Cx_para">Trajecto!$C$28</definedName>
    <definedName name="Cx_satellite">Trajecto!$D$28</definedName>
    <definedName name="D_ail">Stabilito!$C$34</definedName>
    <definedName name="D_can" localSheetId="0">Stabilito!$D$34</definedName>
    <definedName name="D_int" localSheetId="0">Stabilito!$E$34</definedName>
    <definedName name="D_og">Stabilito!$C$23</definedName>
    <definedName name="D_ref">Stabilito!$C$14</definedName>
    <definedName name="D_var">Abaco!$B$41:$B$67</definedName>
    <definedName name="D1j">Stabilito!$M$7</definedName>
    <definedName name="D1r">Stabilito!$O$7</definedName>
    <definedName name="D2j">Stabilito!$M$8</definedName>
    <definedName name="D2r">Stabilito!$O$8</definedName>
    <definedName name="Débit">Calculs!$R$4:$R$1004</definedName>
    <definedName name="Depotage">Propu!$Z$2</definedName>
    <definedName name="Diam_propu">Propu!$T$2</definedName>
    <definedName name="Dt_para">Trajecto!$C$31</definedName>
    <definedName name="Dt_satellite">Trajecto!$D$31</definedName>
    <definedName name="Dx_para">Trajecto!$C$33</definedName>
    <definedName name="Dx_sat">Trajecto!$D$33</definedName>
    <definedName name="E_ail">Stabilito!$C$30</definedName>
    <definedName name="E_can">Stabilito!$D$30</definedName>
    <definedName name="E_int" localSheetId="0">Stabilito!$E$30</definedName>
    <definedName name="ep_ail">Stabilito!$C$31</definedName>
    <definedName name="ep_can">Stabilito!$D$31</definedName>
    <definedName name="ep_int" localSheetId="0">Stabilito!$E$31</definedName>
    <definedName name="Event">Calculs!$Y$4:$Y$1004</definedName>
    <definedName name="Event_para">Calculs!$Z$4:$Z$1004</definedName>
    <definedName name="Event_sat">Calculs!$AA$4:$AA$1004</definedName>
    <definedName name="f_ail" localSheetId="0">Stabilito!$C$35</definedName>
    <definedName name="f_can" localSheetId="0">Stabilito!$D$35</definedName>
    <definedName name="f_int" localSheetId="0">Stabilito!$E$35</definedName>
    <definedName name="Finesse">Stabilito!$H$27</definedName>
    <definedName name="Forme_ogive">Stabilito!$C$21</definedName>
    <definedName name="g">Info!$E$52</definedName>
    <definedName name="i_P">Calculs!$P$4:$P$1004</definedName>
    <definedName name="I_total">Propu!$D$2</definedName>
    <definedName name="ISP">Propu!$F$2</definedName>
    <definedName name="l_j">Stabilito!$M$6</definedName>
    <definedName name="l_r">Stabilito!$O$6</definedName>
    <definedName name="L_rampe">Trajecto!$C$18</definedName>
    <definedName name="Lang">Stabilito!$M$2</definedName>
    <definedName name="Liste_µfu">Propu!$F$317:$F$346</definedName>
    <definedName name="Liste_fusex">Propu!$R$317:$R$346</definedName>
    <definedName name="Liste_H2O">Propu!$C$317:$D$346</definedName>
    <definedName name="Liste_minif">Propu!$L$317:$M$346</definedName>
    <definedName name="Liste_minifT">Propu!$O$317:$O$346</definedName>
    <definedName name="Liste_propu">Propu!$A$317:$A$330</definedName>
    <definedName name="Liste_RC">Propu!$I$317:$J$346</definedName>
    <definedName name="Long_ogive">Stabilito!$C$22</definedName>
    <definedName name="Long_propu">Propu!$R$2</definedName>
    <definedName name="Long_tot">Stabilito!$C$13</definedName>
    <definedName name="m">Calculs!$S$4:$S$1004</definedName>
    <definedName name="m_ail">Stabilito!$C$27</definedName>
    <definedName name="m_bal">Abaco!$F$41:$F$67</definedName>
    <definedName name="m_can">Stabilito!$D$27</definedName>
    <definedName name="m_int" localSheetId="0">Stabilito!$E$27</definedName>
    <definedName name="m_poudre">Propu!$J$2</definedName>
    <definedName name="m_prop">Abaco!$E$41:$E$67</definedName>
    <definedName name="m_satellite">Trajecto!$D$24</definedName>
    <definedName name="m_tot">Trajecto!$C$10</definedName>
    <definedName name="m_var">Abaco!$D$41:$D$67</definedName>
    <definedName name="m_vide">Trajecto!$C$24</definedName>
    <definedName name="Masse_ail">Controle!$H$63</definedName>
    <definedName name="MassePlein">Stabilito!$M$14</definedName>
    <definedName name="MasseSans">Stabilito!$P$14</definedName>
    <definedName name="MasseVide">Stabilito!$N$14</definedName>
    <definedName name="Menu_Empennage">Stabilito!$B$111:$B$112</definedName>
    <definedName name="Menu_Lang">Stabilito!$B$93:$B$94</definedName>
    <definedName name="Menu_Ogive">Stabilito!$B$107:$B$109</definedName>
    <definedName name="Menu_sat">Trajecto!$B$104:$B$105</definedName>
    <definedName name="Menu_Transitions">Stabilito!$B$114:$B$115</definedName>
    <definedName name="Menu_Type">Stabilito!$B$96:$B$100</definedName>
    <definedName name="Menu_with_motor">Stabilito!$B$103:$B$105</definedName>
    <definedName name="MpropuPlein">Propu!$H$2</definedName>
    <definedName name="MpropuVide">Propu!$L$2</definedName>
    <definedName name="MS_Cn_max">Stabilito!$I$30</definedName>
    <definedName name="MS_Cn_max0">Stabilito!#REF!</definedName>
    <definedName name="MS_Cn_min">Stabilito!$H$30</definedName>
    <definedName name="MS_Cn_min0">Stabilito!#REF!</definedName>
    <definedName name="MS_max">Stabilito!$I$29</definedName>
    <definedName name="MS_max0">Stabilito!#REF!</definedName>
    <definedName name="MS_min">Stabilito!$H$29</definedName>
    <definedName name="MS_min0">Stabilito!#REF!</definedName>
    <definedName name="n_ail">Stabilito!$C$28</definedName>
    <definedName name="n_can">Stabilito!$D$28</definedName>
    <definedName name="n_int" localSheetId="0">Stabilito!$E$28</definedName>
    <definedName name="Nb_diam">Stabilito!$M$4</definedName>
    <definedName name="Nb_sat">Trajecto!$D$23</definedName>
    <definedName name="Nom">Stabilito!$C$8</definedName>
    <definedName name="p_ail">Stabilito!$C$29</definedName>
    <definedName name="p_can">Stabilito!$D$29</definedName>
    <definedName name="p_int" localSheetId="0">Stabilito!$E$29</definedName>
    <definedName name="pas">Calculs!$A$4:$A$1004</definedName>
    <definedName name="Poids">Calculs!$T$4:$T$1004</definedName>
    <definedName name="Portee_balistique">Trajecto!$J$28</definedName>
    <definedName name="pos_x">Calculs!$J$4:$J$1004</definedName>
    <definedName name="pos_xz">Calculs!$L$4:$L$1004</definedName>
    <definedName name="pos_z">Calculs!$K$4:$K$1004</definedName>
    <definedName name="pos_z_montant">Calculs!$AE$4:$AE$1004</definedName>
    <definedName name="Poussee">Calculs!$Q$4:$Q$1004</definedName>
    <definedName name="Propu">Stabilito!$C$17</definedName>
    <definedName name="Q_ail">Stabilito!$C$32</definedName>
    <definedName name="Q_can">Stabilito!$D$32</definedName>
    <definedName name="Q_int" localSheetId="0">Stabilito!$E$32</definedName>
    <definedName name="Q_var">Abaco!$C$41:$C$67</definedName>
    <definedName name="R_rampe">Calculs!$U$4:$U$1004</definedName>
    <definedName name="Rho">Calculs!$V$4:$V$1004</definedName>
    <definedName name="Rho_moyen">Info!$E$53</definedName>
    <definedName name="S_ail">Controle!$H$64</definedName>
    <definedName name="S_para">Trajecto!$C$27</definedName>
    <definedName name="S_para_croix">Trajecto!$B$47</definedName>
    <definedName name="S_para_rond">Trajecto!$B$55</definedName>
    <definedName name="S_satellite">Trajecto!$D$27</definedName>
    <definedName name="Sref">Trajecto!$C$14</definedName>
    <definedName name="sS">Trajecto!$F$132</definedName>
    <definedName name="t">Calculs!$B$4:$B$1004</definedName>
    <definedName name="T_balistique">Trajecto!$H$28</definedName>
    <definedName name="T_ini">Trajecto!$H$40</definedName>
    <definedName name="T_para">Trajecto!$C$113</definedName>
    <definedName name="T_satellite">Trajecto!$D$26</definedName>
    <definedName name="Temps_culmi">Trajecto!$H$26</definedName>
    <definedName name="Temps_fin_propu">Propu!$X$3</definedName>
    <definedName name="Trainee">Calculs!$W$4:$W$1004</definedName>
    <definedName name="tT_fus">Trajecto!$F$133</definedName>
    <definedName name="tT_sat">Trajecto!$F$150</definedName>
    <definedName name="Type_fusee">Stabilito!$C$10</definedName>
    <definedName name="Type_masquage" localSheetId="5">Stabilito!$C$26</definedName>
    <definedName name="Type_masquage" localSheetId="0">Stabilito!$C$26</definedName>
    <definedName name="Type_propu">Propu!$V$2</definedName>
    <definedName name="V_ini">Trajecto!$K$40</definedName>
    <definedName name="V_ouv_sat">Trajecto!$K$25</definedName>
    <definedName name="V_ouverture">Trajecto!$K$27</definedName>
    <definedName name="V_para">Trajecto!$C$30</definedName>
    <definedName name="V_prop">Abaco!$K$41:$K$67</definedName>
    <definedName name="V_satellite">Trajecto!$D$30</definedName>
    <definedName name="V_vent">Trajecto!$C$29</definedName>
    <definedName name="V_vent_sat">Trajecto!$D$29</definedName>
    <definedName name="Version" localSheetId="0">Stabilito!$Q$36</definedName>
    <definedName name="Version" localSheetId="1">Trajecto!$N$35</definedName>
    <definedName name="Vit_culmi">Trajecto!$K$26</definedName>
    <definedName name="Vit_max">Trajecto!$K$24</definedName>
    <definedName name="vit_x">Calculs!$G$4:$G$1004</definedName>
    <definedName name="vit_xz">Calculs!$I$4:$I$1004</definedName>
    <definedName name="vit_z">Calculs!$H$4:$H$1004</definedName>
    <definedName name="Vsortie_de_rampe">Trajecto!$K$23</definedName>
    <definedName name="X_ail">Stabilito!$C$33</definedName>
    <definedName name="X_can">Stabilito!$D$33</definedName>
    <definedName name="X_culmi">Trajecto!$J$26</definedName>
    <definedName name="X_ini">Trajecto!$J$40</definedName>
    <definedName name="X_int" localSheetId="0">Stabilito!$E$33</definedName>
    <definedName name="X_j">Stabilito!$M$9</definedName>
    <definedName name="X_para">Trajecto!$J$27</definedName>
    <definedName name="X_r">Stabilito!$O$9</definedName>
    <definedName name="X_satellite">Trajecto!$J$25</definedName>
    <definedName name="XcgPlein">Stabilito!$M$15</definedName>
    <definedName name="XcgSans">Stabilito!$P$15</definedName>
    <definedName name="XcgVide">Stabilito!$N$15</definedName>
    <definedName name="XCp" localSheetId="0">Stabilito!$H$31</definedName>
    <definedName name="XCp0">Stabilito!$I$31</definedName>
    <definedName name="XCpa" localSheetId="0">Stabilito!$M$20</definedName>
    <definedName name="XCpai" localSheetId="0">Stabilito!$M$19</definedName>
    <definedName name="XCpai0">Stabilito!$N$19</definedName>
    <definedName name="XCpc" localSheetId="0">Stabilito!$M$21</definedName>
    <definedName name="XCpi" localSheetId="0">Stabilito!$M$22</definedName>
    <definedName name="XCpi0">Stabilito!$N$22</definedName>
    <definedName name="XCpj" localSheetId="0">Stabilito!$M$23</definedName>
    <definedName name="XCpo" localSheetId="0">Stabilito!$M$18</definedName>
    <definedName name="XCpr" localSheetId="0">Stabilito!$M$24</definedName>
    <definedName name="XpropuPlein">Propu!$N$2</definedName>
    <definedName name="XpropuRef">Stabilito!$C$18</definedName>
    <definedName name="XpropuVide">Propu!$P$2</definedName>
    <definedName name="Z_ini">Trajecto!$I$40</definedName>
    <definedName name="_xlnm.Print_Area" localSheetId="5">Abaco!$A$1:$M$35</definedName>
    <definedName name="_xlnm.Print_Area" localSheetId="2">Courbes!$A$1:$K$78</definedName>
    <definedName name="_xlnm.Print_Area" localSheetId="0">Stabilito!$A$1:$Q$37</definedName>
    <definedName name="_xlnm.Print_Area" localSheetId="1">Trajecto!$A$1:$N$35</definedName>
    <definedName name="zZ_fus">Trajecto!$F$134</definedName>
    <definedName name="zZ_sat">Trajecto!$F$151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C33" i="6" l="1"/>
  <c r="O7" i="6" l="1"/>
  <c r="C14" i="6"/>
  <c r="H6" i="7" s="1"/>
  <c r="K25" i="7"/>
  <c r="H8" i="7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J304" i="4"/>
  <c r="B304" i="4"/>
  <c r="M7" i="6"/>
  <c r="C19" i="6"/>
  <c r="L322" i="4"/>
  <c r="L324" i="4"/>
  <c r="L325" i="4"/>
  <c r="L326" i="4"/>
  <c r="L320" i="4"/>
  <c r="L319" i="4"/>
  <c r="L318" i="4"/>
  <c r="L317" i="4"/>
  <c r="I321" i="4"/>
  <c r="I320" i="4"/>
  <c r="I319" i="4"/>
  <c r="I318" i="4"/>
  <c r="I317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J148" i="4"/>
  <c r="B148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S98" i="4"/>
  <c r="T98" i="4"/>
  <c r="U98" i="4"/>
  <c r="V98" i="4"/>
  <c r="W98" i="4"/>
  <c r="X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103" i="4"/>
  <c r="C98" i="4"/>
  <c r="X104" i="4"/>
  <c r="X105" i="4" s="1"/>
  <c r="W104" i="4"/>
  <c r="V104" i="4"/>
  <c r="U104" i="4"/>
  <c r="T104" i="4"/>
  <c r="S104" i="4"/>
  <c r="R104" i="4"/>
  <c r="Q104" i="4"/>
  <c r="P105" i="4" s="1"/>
  <c r="P104" i="4"/>
  <c r="O104" i="4"/>
  <c r="N105" i="4" s="1"/>
  <c r="N104" i="4"/>
  <c r="M104" i="4"/>
  <c r="L104" i="4"/>
  <c r="K104" i="4"/>
  <c r="J105" i="4" s="1"/>
  <c r="J104" i="4"/>
  <c r="I105" i="4" s="1"/>
  <c r="I104" i="4"/>
  <c r="H104" i="4"/>
  <c r="G104" i="4"/>
  <c r="F104" i="4"/>
  <c r="E104" i="4"/>
  <c r="D104" i="4"/>
  <c r="C104" i="4"/>
  <c r="B105" i="4" s="1"/>
  <c r="B104" i="4"/>
  <c r="L102" i="4"/>
  <c r="H102" i="4"/>
  <c r="B102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100" i="4" s="1"/>
  <c r="E99" i="4"/>
  <c r="D99" i="4"/>
  <c r="C99" i="4"/>
  <c r="B99" i="4"/>
  <c r="L97" i="4"/>
  <c r="H97" i="4"/>
  <c r="B97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D92" i="4" s="1"/>
  <c r="F92" i="4" s="1"/>
  <c r="H95" i="4"/>
  <c r="G95" i="4"/>
  <c r="F95" i="4"/>
  <c r="E95" i="4"/>
  <c r="D95" i="4"/>
  <c r="C95" i="4"/>
  <c r="B95" i="4"/>
  <c r="J92" i="4"/>
  <c r="B92" i="4"/>
  <c r="O344" i="4"/>
  <c r="O343" i="4"/>
  <c r="O342" i="4"/>
  <c r="O341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J203" i="4"/>
  <c r="B203" i="4"/>
  <c r="E5" i="7"/>
  <c r="H7" i="7"/>
  <c r="E7" i="7"/>
  <c r="E6" i="7"/>
  <c r="H9" i="7"/>
  <c r="K23" i="7"/>
  <c r="J26" i="7"/>
  <c r="J25" i="7"/>
  <c r="J23" i="7"/>
  <c r="G27" i="7"/>
  <c r="G26" i="7"/>
  <c r="F26" i="7"/>
  <c r="G25" i="7"/>
  <c r="G24" i="7"/>
  <c r="F24" i="7"/>
  <c r="G23" i="7"/>
  <c r="F23" i="7"/>
  <c r="D27" i="7"/>
  <c r="D24" i="7"/>
  <c r="B31" i="6"/>
  <c r="B30" i="6"/>
  <c r="B29" i="6"/>
  <c r="B28" i="6"/>
  <c r="B27" i="6"/>
  <c r="B35" i="6"/>
  <c r="B34" i="6"/>
  <c r="B33" i="6"/>
  <c r="B32" i="6"/>
  <c r="U35" i="7"/>
  <c r="U34" i="7"/>
  <c r="U33" i="7"/>
  <c r="U32" i="7"/>
  <c r="U31" i="7"/>
  <c r="U30" i="7"/>
  <c r="P32" i="7"/>
  <c r="P31" i="7"/>
  <c r="Q34" i="7"/>
  <c r="P29" i="7"/>
  <c r="U20" i="7"/>
  <c r="Q17" i="7"/>
  <c r="U16" i="7"/>
  <c r="U13" i="7"/>
  <c r="Q12" i="7"/>
  <c r="U11" i="7"/>
  <c r="Q3" i="7"/>
  <c r="E17" i="7"/>
  <c r="E16" i="7"/>
  <c r="E15" i="7"/>
  <c r="E13" i="7"/>
  <c r="B52" i="1"/>
  <c r="B50" i="1"/>
  <c r="B55" i="1"/>
  <c r="D27" i="1"/>
  <c r="I69" i="7" s="1"/>
  <c r="D24" i="1"/>
  <c r="E29" i="1" s="1"/>
  <c r="C161" i="6"/>
  <c r="C162" i="6"/>
  <c r="C160" i="6"/>
  <c r="C159" i="6"/>
  <c r="C158" i="6"/>
  <c r="C25" i="6"/>
  <c r="M21" i="6"/>
  <c r="C140" i="6"/>
  <c r="D25" i="7"/>
  <c r="F108" i="1"/>
  <c r="C113" i="1" s="1"/>
  <c r="C152" i="1"/>
  <c r="C150" i="1"/>
  <c r="C148" i="1"/>
  <c r="N33" i="1"/>
  <c r="C131" i="1"/>
  <c r="B25" i="1"/>
  <c r="J30" i="6"/>
  <c r="E191" i="6" s="1"/>
  <c r="G30" i="6"/>
  <c r="E182" i="6" s="1"/>
  <c r="J29" i="6"/>
  <c r="B188" i="6" s="1"/>
  <c r="G29" i="6"/>
  <c r="J28" i="6"/>
  <c r="C185" i="6" s="1"/>
  <c r="J27" i="6"/>
  <c r="G28" i="6"/>
  <c r="G27" i="6"/>
  <c r="W35" i="6"/>
  <c r="B100" i="6"/>
  <c r="B97" i="6"/>
  <c r="B98" i="6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S240" i="4"/>
  <c r="T240" i="4" s="1"/>
  <c r="U240" i="4" s="1"/>
  <c r="V240" i="4" s="1"/>
  <c r="W240" i="4" s="1"/>
  <c r="S239" i="4"/>
  <c r="T239" i="4" s="1"/>
  <c r="J238" i="4"/>
  <c r="B238" i="4"/>
  <c r="O321" i="4"/>
  <c r="O320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V130" i="4"/>
  <c r="U131" i="4" s="1"/>
  <c r="T131" i="4"/>
  <c r="J128" i="4"/>
  <c r="B128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6" i="4" s="1"/>
  <c r="J123" i="4"/>
  <c r="B123" i="4"/>
  <c r="O340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V255" i="4"/>
  <c r="W255" i="4" s="1"/>
  <c r="V254" i="4"/>
  <c r="W254" i="4" s="1"/>
  <c r="X254" i="4" s="1"/>
  <c r="J253" i="4"/>
  <c r="B253" i="4"/>
  <c r="O337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S235" i="4"/>
  <c r="T235" i="4" s="1"/>
  <c r="S234" i="4"/>
  <c r="R236" i="4" s="1"/>
  <c r="J233" i="4"/>
  <c r="B233" i="4"/>
  <c r="O346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S211" i="4"/>
  <c r="R211" i="4"/>
  <c r="J208" i="4"/>
  <c r="B208" i="4"/>
  <c r="O336" i="4"/>
  <c r="O335" i="4"/>
  <c r="O334" i="4"/>
  <c r="O333" i="4"/>
  <c r="O338" i="4"/>
  <c r="O339" i="4"/>
  <c r="O345" i="4"/>
  <c r="O323" i="4"/>
  <c r="O324" i="4"/>
  <c r="O325" i="4"/>
  <c r="O326" i="4"/>
  <c r="O327" i="4"/>
  <c r="O319" i="4"/>
  <c r="O322" i="4"/>
  <c r="O328" i="4"/>
  <c r="O329" i="4"/>
  <c r="O330" i="4"/>
  <c r="O331" i="4"/>
  <c r="O332" i="4"/>
  <c r="O318" i="4"/>
  <c r="O317" i="4"/>
  <c r="U256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D228" i="4" s="1"/>
  <c r="F228" i="4" s="1"/>
  <c r="G231" i="4"/>
  <c r="F231" i="4"/>
  <c r="E231" i="4"/>
  <c r="D231" i="4"/>
  <c r="C231" i="4"/>
  <c r="B231" i="4"/>
  <c r="J228" i="4"/>
  <c r="B228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T225" i="4"/>
  <c r="U225" i="4" s="1"/>
  <c r="R226" i="4"/>
  <c r="T224" i="4"/>
  <c r="U224" i="4" s="1"/>
  <c r="V224" i="4" s="1"/>
  <c r="W224" i="4" s="1"/>
  <c r="J223" i="4"/>
  <c r="B223" i="4"/>
  <c r="V249" i="4"/>
  <c r="W249" i="4" s="1"/>
  <c r="W244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J248" i="4"/>
  <c r="B248" i="4"/>
  <c r="J246" i="4"/>
  <c r="I246" i="4"/>
  <c r="H246" i="4"/>
  <c r="G246" i="4"/>
  <c r="F246" i="4"/>
  <c r="E246" i="4"/>
  <c r="D246" i="4"/>
  <c r="C246" i="4"/>
  <c r="B246" i="4"/>
  <c r="J243" i="4"/>
  <c r="B243" i="4"/>
  <c r="L194" i="4"/>
  <c r="K196" i="4" s="1"/>
  <c r="R334" i="4"/>
  <c r="R335" i="4"/>
  <c r="R336" i="4"/>
  <c r="R337" i="4"/>
  <c r="R338" i="4"/>
  <c r="R339" i="4"/>
  <c r="S195" i="4"/>
  <c r="T195" i="4" s="1"/>
  <c r="U195" i="4" s="1"/>
  <c r="V195" i="4" s="1"/>
  <c r="W195" i="4" s="1"/>
  <c r="X195" i="4" s="1"/>
  <c r="X196" i="4" s="1"/>
  <c r="J196" i="4"/>
  <c r="I196" i="4"/>
  <c r="H196" i="4"/>
  <c r="G196" i="4"/>
  <c r="F196" i="4"/>
  <c r="E196" i="4"/>
  <c r="D196" i="4"/>
  <c r="C196" i="4"/>
  <c r="B196" i="4"/>
  <c r="J193" i="4"/>
  <c r="B193" i="4"/>
  <c r="S200" i="4"/>
  <c r="T200" i="4" s="1"/>
  <c r="S199" i="4"/>
  <c r="T199" i="4" s="1"/>
  <c r="U199" i="4" s="1"/>
  <c r="V199" i="4" s="1"/>
  <c r="W199" i="4" s="1"/>
  <c r="X199" i="4" s="1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J198" i="4"/>
  <c r="B198" i="4"/>
  <c r="B213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S215" i="4"/>
  <c r="T215" i="4" s="1"/>
  <c r="S214" i="4"/>
  <c r="J213" i="4"/>
  <c r="A2" i="4"/>
  <c r="B133" i="4"/>
  <c r="B4" i="3"/>
  <c r="AC4" i="3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J133" i="4"/>
  <c r="N4" i="3"/>
  <c r="M4" i="3" s="1"/>
  <c r="J4" i="3"/>
  <c r="K4" i="3"/>
  <c r="V4" i="3" s="1"/>
  <c r="I4" i="3"/>
  <c r="B113" i="4"/>
  <c r="M18" i="6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5" i="4"/>
  <c r="T116" i="4" s="1"/>
  <c r="J113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T165" i="4"/>
  <c r="S166" i="4" s="1"/>
  <c r="X164" i="4"/>
  <c r="L163" i="4"/>
  <c r="J163" i="4" s="1"/>
  <c r="B47" i="1"/>
  <c r="C27" i="1" s="1"/>
  <c r="D29" i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J26" i="4"/>
  <c r="B34" i="4"/>
  <c r="C34" i="4"/>
  <c r="D34" i="4"/>
  <c r="D31" i="4" s="1"/>
  <c r="F31" i="4" s="1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J31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J3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J41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J4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J51" i="4"/>
  <c r="B59" i="4"/>
  <c r="C59" i="4"/>
  <c r="D59" i="4"/>
  <c r="E59" i="4"/>
  <c r="F59" i="4"/>
  <c r="G59" i="4"/>
  <c r="H59" i="4"/>
  <c r="I59" i="4"/>
  <c r="D56" i="4" s="1"/>
  <c r="F56" i="4" s="1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J56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J61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J67" i="4"/>
  <c r="B75" i="4"/>
  <c r="C75" i="4"/>
  <c r="D75" i="4"/>
  <c r="E75" i="4"/>
  <c r="F75" i="4"/>
  <c r="G75" i="4"/>
  <c r="H75" i="4"/>
  <c r="I75" i="4"/>
  <c r="D72" i="4" s="1"/>
  <c r="F72" i="4" s="1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J72" i="4"/>
  <c r="B80" i="4"/>
  <c r="C80" i="4"/>
  <c r="D80" i="4"/>
  <c r="D77" i="4" s="1"/>
  <c r="F77" i="4" s="1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J77" i="4"/>
  <c r="C84" i="4"/>
  <c r="B84" i="4"/>
  <c r="D84" i="4"/>
  <c r="D85" i="4" s="1"/>
  <c r="E84" i="4"/>
  <c r="F84" i="4"/>
  <c r="E85" i="4" s="1"/>
  <c r="G84" i="4"/>
  <c r="F85" i="4" s="1"/>
  <c r="H84" i="4"/>
  <c r="I84" i="4"/>
  <c r="J84" i="4"/>
  <c r="K84" i="4"/>
  <c r="L84" i="4"/>
  <c r="L85" i="4" s="1"/>
  <c r="M84" i="4"/>
  <c r="N84" i="4"/>
  <c r="O84" i="4"/>
  <c r="N85" i="4" s="1"/>
  <c r="P84" i="4"/>
  <c r="O85" i="4" s="1"/>
  <c r="Q84" i="4"/>
  <c r="R84" i="4"/>
  <c r="S84" i="4"/>
  <c r="T84" i="4"/>
  <c r="U84" i="4"/>
  <c r="V84" i="4"/>
  <c r="W84" i="4"/>
  <c r="V85" i="4" s="1"/>
  <c r="X84" i="4"/>
  <c r="H82" i="4"/>
  <c r="L82" i="4"/>
  <c r="C89" i="4"/>
  <c r="B89" i="4"/>
  <c r="D89" i="4"/>
  <c r="E89" i="4"/>
  <c r="F89" i="4"/>
  <c r="G89" i="4"/>
  <c r="F90" i="4" s="1"/>
  <c r="H89" i="4"/>
  <c r="G90" i="4" s="1"/>
  <c r="I89" i="4"/>
  <c r="J89" i="4"/>
  <c r="K89" i="4"/>
  <c r="K90" i="4" s="1"/>
  <c r="L89" i="4"/>
  <c r="M89" i="4"/>
  <c r="N89" i="4"/>
  <c r="O89" i="4"/>
  <c r="P89" i="4"/>
  <c r="O90" i="4" s="1"/>
  <c r="Q89" i="4"/>
  <c r="R89" i="4"/>
  <c r="S89" i="4"/>
  <c r="S90" i="4" s="1"/>
  <c r="T89" i="4"/>
  <c r="U89" i="4"/>
  <c r="V89" i="4"/>
  <c r="W89" i="4"/>
  <c r="V90" i="4" s="1"/>
  <c r="X89" i="4"/>
  <c r="X90" i="4" s="1"/>
  <c r="H87" i="4"/>
  <c r="L87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T110" i="4"/>
  <c r="S111" i="4" s="1"/>
  <c r="J108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T120" i="4"/>
  <c r="S121" i="4" s="1"/>
  <c r="J118" i="4"/>
  <c r="B141" i="4"/>
  <c r="C141" i="4"/>
  <c r="D141" i="4"/>
  <c r="D138" i="4" s="1"/>
  <c r="F138" i="4" s="1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J138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J143" i="4"/>
  <c r="B156" i="4"/>
  <c r="C156" i="4"/>
  <c r="D156" i="4"/>
  <c r="D153" i="4" s="1"/>
  <c r="F153" i="4" s="1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J153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J158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J168" i="4"/>
  <c r="B176" i="4"/>
  <c r="C176" i="4"/>
  <c r="D176" i="4"/>
  <c r="E176" i="4"/>
  <c r="F176" i="4"/>
  <c r="G176" i="4"/>
  <c r="H176" i="4"/>
  <c r="I176" i="4"/>
  <c r="D173" i="4" s="1"/>
  <c r="F173" i="4" s="1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J173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J178" i="4"/>
  <c r="B186" i="4"/>
  <c r="C186" i="4"/>
  <c r="D186" i="4"/>
  <c r="E186" i="4"/>
  <c r="F186" i="4"/>
  <c r="G186" i="4"/>
  <c r="H186" i="4"/>
  <c r="I186" i="4"/>
  <c r="D183" i="4" s="1"/>
  <c r="F183" i="4" s="1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J183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T190" i="4"/>
  <c r="U190" i="4" s="1"/>
  <c r="X189" i="4"/>
  <c r="L188" i="4"/>
  <c r="J188" i="4" s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J218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J258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J263" i="4"/>
  <c r="B272" i="4"/>
  <c r="C272" i="4"/>
  <c r="D269" i="4" s="1"/>
  <c r="F269" i="4" s="1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J269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J274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J279" i="4"/>
  <c r="B287" i="4"/>
  <c r="D284" i="4" s="1"/>
  <c r="F284" i="4" s="1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J284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J289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J294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J299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J309" i="4"/>
  <c r="A316" i="4"/>
  <c r="B26" i="4"/>
  <c r="N26" i="4"/>
  <c r="B31" i="4"/>
  <c r="N31" i="4"/>
  <c r="B36" i="4"/>
  <c r="N36" i="4"/>
  <c r="B41" i="4"/>
  <c r="N41" i="4"/>
  <c r="B46" i="4"/>
  <c r="N46" i="4"/>
  <c r="B51" i="4"/>
  <c r="N51" i="4"/>
  <c r="B56" i="4"/>
  <c r="N56" i="4"/>
  <c r="B61" i="4"/>
  <c r="N61" i="4"/>
  <c r="B67" i="4"/>
  <c r="B72" i="4"/>
  <c r="B77" i="4"/>
  <c r="B82" i="4"/>
  <c r="B87" i="4"/>
  <c r="B108" i="4"/>
  <c r="B118" i="4"/>
  <c r="B138" i="4"/>
  <c r="B143" i="4"/>
  <c r="B153" i="4"/>
  <c r="B158" i="4"/>
  <c r="B163" i="4"/>
  <c r="B168" i="4"/>
  <c r="B173" i="4"/>
  <c r="B178" i="4"/>
  <c r="B183" i="4"/>
  <c r="B188" i="4"/>
  <c r="B218" i="4"/>
  <c r="B258" i="4"/>
  <c r="B263" i="4"/>
  <c r="B269" i="4"/>
  <c r="B274" i="4"/>
  <c r="B279" i="4"/>
  <c r="B284" i="4"/>
  <c r="B289" i="4"/>
  <c r="B294" i="4"/>
  <c r="B299" i="4"/>
  <c r="B309" i="4"/>
  <c r="E116" i="7"/>
  <c r="F85" i="7"/>
  <c r="H118" i="7"/>
  <c r="H111" i="7"/>
  <c r="E102" i="7"/>
  <c r="E103" i="7"/>
  <c r="E104" i="7"/>
  <c r="E100" i="7"/>
  <c r="H105" i="7"/>
  <c r="J105" i="7"/>
  <c r="J101" i="7"/>
  <c r="F97" i="7"/>
  <c r="J92" i="7"/>
  <c r="J88" i="7"/>
  <c r="J86" i="7"/>
  <c r="J84" i="7"/>
  <c r="F90" i="7"/>
  <c r="F82" i="7"/>
  <c r="D85" i="7"/>
  <c r="D83" i="7"/>
  <c r="D81" i="7"/>
  <c r="D80" i="7"/>
  <c r="B19" i="6"/>
  <c r="F321" i="4"/>
  <c r="F320" i="4"/>
  <c r="C21" i="5"/>
  <c r="C20" i="5"/>
  <c r="C26" i="5"/>
  <c r="C22" i="5"/>
  <c r="C17" i="5"/>
  <c r="C19" i="5"/>
  <c r="C16" i="5"/>
  <c r="C15" i="5"/>
  <c r="L2" i="6"/>
  <c r="C317" i="4"/>
  <c r="F317" i="4"/>
  <c r="R317" i="4"/>
  <c r="C318" i="4"/>
  <c r="F318" i="4"/>
  <c r="R318" i="4"/>
  <c r="C319" i="4"/>
  <c r="F319" i="4"/>
  <c r="C320" i="4"/>
  <c r="C321" i="4"/>
  <c r="C322" i="4"/>
  <c r="C323" i="4"/>
  <c r="C324" i="4"/>
  <c r="B146" i="2"/>
  <c r="B35" i="1"/>
  <c r="B36" i="6"/>
  <c r="B15" i="8"/>
  <c r="B76" i="2"/>
  <c r="B11" i="8"/>
  <c r="B107" i="1"/>
  <c r="F42" i="5"/>
  <c r="B71" i="8"/>
  <c r="B78" i="8"/>
  <c r="C5" i="8"/>
  <c r="B76" i="8"/>
  <c r="B74" i="8"/>
  <c r="B73" i="8"/>
  <c r="B10" i="8"/>
  <c r="C4" i="8"/>
  <c r="C16" i="8"/>
  <c r="C14" i="8"/>
  <c r="C12" i="8"/>
  <c r="B12" i="8"/>
  <c r="C9" i="8"/>
  <c r="C8" i="8"/>
  <c r="B8" i="8"/>
  <c r="C7" i="8"/>
  <c r="N36" i="6"/>
  <c r="C51" i="5"/>
  <c r="C53" i="5"/>
  <c r="T18" i="6"/>
  <c r="S17" i="6"/>
  <c r="S19" i="6"/>
  <c r="S18" i="6"/>
  <c r="S13" i="6"/>
  <c r="S14" i="6"/>
  <c r="S12" i="6"/>
  <c r="T16" i="6"/>
  <c r="T11" i="6"/>
  <c r="L38" i="6"/>
  <c r="B93" i="1"/>
  <c r="B79" i="2"/>
  <c r="H64" i="7"/>
  <c r="H63" i="7" s="1"/>
  <c r="E59" i="7"/>
  <c r="E55" i="7"/>
  <c r="H52" i="7"/>
  <c r="D45" i="7"/>
  <c r="E44" i="7"/>
  <c r="D44" i="7"/>
  <c r="E46" i="7"/>
  <c r="D46" i="7"/>
  <c r="E43" i="7"/>
  <c r="D43" i="7"/>
  <c r="E41" i="7"/>
  <c r="E50" i="7"/>
  <c r="E48" i="7"/>
  <c r="E47" i="7"/>
  <c r="H50" i="7"/>
  <c r="E51" i="7"/>
  <c r="C31" i="7"/>
  <c r="C5" i="5"/>
  <c r="C6" i="5"/>
  <c r="C7" i="5"/>
  <c r="C8" i="5"/>
  <c r="C10" i="5"/>
  <c r="C11" i="5"/>
  <c r="C12" i="5"/>
  <c r="C13" i="5"/>
  <c r="C23" i="5"/>
  <c r="C25" i="5"/>
  <c r="C28" i="5"/>
  <c r="C33" i="5"/>
  <c r="F34" i="5"/>
  <c r="F35" i="5"/>
  <c r="F36" i="5"/>
  <c r="F37" i="5"/>
  <c r="F38" i="5"/>
  <c r="F39" i="5"/>
  <c r="F40" i="5"/>
  <c r="C52" i="5"/>
  <c r="A1" i="4"/>
  <c r="A3" i="4"/>
  <c r="A4" i="4"/>
  <c r="B77" i="2"/>
  <c r="B78" i="2"/>
  <c r="B131" i="2"/>
  <c r="B133" i="2"/>
  <c r="B134" i="2"/>
  <c r="B135" i="2"/>
  <c r="B137" i="2"/>
  <c r="B138" i="2"/>
  <c r="B140" i="2"/>
  <c r="B141" i="2"/>
  <c r="B144" i="2"/>
  <c r="C4" i="1"/>
  <c r="C6" i="1"/>
  <c r="C7" i="1"/>
  <c r="C23" i="1" s="1"/>
  <c r="B8" i="1"/>
  <c r="C8" i="1"/>
  <c r="C9" i="1"/>
  <c r="B10" i="1"/>
  <c r="B11" i="1"/>
  <c r="C11" i="1"/>
  <c r="C13" i="1"/>
  <c r="C17" i="1"/>
  <c r="B18" i="1"/>
  <c r="B19" i="1"/>
  <c r="C22" i="1"/>
  <c r="G22" i="1"/>
  <c r="H22" i="1"/>
  <c r="J22" i="1"/>
  <c r="K22" i="1"/>
  <c r="F23" i="1"/>
  <c r="B24" i="1"/>
  <c r="F24" i="1"/>
  <c r="B26" i="1"/>
  <c r="F25" i="1"/>
  <c r="H25" i="1"/>
  <c r="F27" i="1"/>
  <c r="B29" i="1"/>
  <c r="F28" i="1"/>
  <c r="B30" i="1"/>
  <c r="B31" i="1"/>
  <c r="H31" i="1"/>
  <c r="B32" i="1"/>
  <c r="F32" i="1"/>
  <c r="B33" i="1"/>
  <c r="F33" i="1"/>
  <c r="F34" i="1"/>
  <c r="A38" i="1"/>
  <c r="F38" i="1"/>
  <c r="H38" i="1"/>
  <c r="J38" i="1"/>
  <c r="K38" i="1"/>
  <c r="F40" i="1"/>
  <c r="M40" i="1"/>
  <c r="F41" i="1"/>
  <c r="B42" i="1"/>
  <c r="F42" i="1"/>
  <c r="F43" i="1"/>
  <c r="B44" i="1"/>
  <c r="F45" i="1"/>
  <c r="F46" i="1"/>
  <c r="F47" i="1"/>
  <c r="L47" i="1"/>
  <c r="F48" i="1"/>
  <c r="H48" i="1"/>
  <c r="F49" i="1"/>
  <c r="I49" i="1"/>
  <c r="L49" i="1"/>
  <c r="M49" i="1"/>
  <c r="B102" i="1"/>
  <c r="B109" i="1"/>
  <c r="B110" i="1"/>
  <c r="B111" i="1"/>
  <c r="B112" i="1"/>
  <c r="B113" i="1"/>
  <c r="B117" i="1"/>
  <c r="C140" i="1"/>
  <c r="C142" i="1"/>
  <c r="C144" i="1"/>
  <c r="B148" i="1"/>
  <c r="C4" i="6"/>
  <c r="C6" i="6"/>
  <c r="L6" i="6"/>
  <c r="C7" i="6"/>
  <c r="L7" i="6"/>
  <c r="B8" i="6"/>
  <c r="L8" i="6"/>
  <c r="L9" i="6"/>
  <c r="B11" i="6"/>
  <c r="M11" i="6"/>
  <c r="N11" i="6"/>
  <c r="P11" i="6"/>
  <c r="B12" i="6"/>
  <c r="L12" i="6"/>
  <c r="B13" i="6"/>
  <c r="L13" i="6"/>
  <c r="B14" i="6"/>
  <c r="L14" i="6"/>
  <c r="L15" i="6"/>
  <c r="C16" i="6"/>
  <c r="B18" i="6"/>
  <c r="L18" i="6"/>
  <c r="L19" i="6"/>
  <c r="C20" i="6"/>
  <c r="L20" i="6"/>
  <c r="B21" i="6"/>
  <c r="L21" i="6"/>
  <c r="B22" i="6"/>
  <c r="L22" i="6"/>
  <c r="B23" i="6"/>
  <c r="D25" i="6"/>
  <c r="F26" i="6"/>
  <c r="H26" i="6"/>
  <c r="E27" i="6"/>
  <c r="F28" i="6"/>
  <c r="F29" i="6"/>
  <c r="F30" i="6"/>
  <c r="E31" i="6"/>
  <c r="E32" i="6"/>
  <c r="D35" i="6"/>
  <c r="B91" i="6"/>
  <c r="B96" i="6"/>
  <c r="B103" i="6"/>
  <c r="B104" i="6"/>
  <c r="B105" i="6"/>
  <c r="B107" i="6"/>
  <c r="B108" i="6"/>
  <c r="B109" i="6"/>
  <c r="B114" i="6"/>
  <c r="B115" i="6"/>
  <c r="B117" i="6"/>
  <c r="B118" i="6"/>
  <c r="B119" i="6"/>
  <c r="B121" i="6"/>
  <c r="C124" i="6"/>
  <c r="E124" i="6"/>
  <c r="C125" i="6"/>
  <c r="C126" i="6" s="1"/>
  <c r="C127" i="6" s="1"/>
  <c r="D125" i="6"/>
  <c r="E125" i="6" s="1"/>
  <c r="C130" i="6"/>
  <c r="C131" i="6"/>
  <c r="E131" i="6"/>
  <c r="B137" i="6"/>
  <c r="B140" i="6"/>
  <c r="B146" i="6"/>
  <c r="B155" i="6"/>
  <c r="E175" i="6"/>
  <c r="C176" i="6"/>
  <c r="F176" i="6"/>
  <c r="G176" i="6"/>
  <c r="D176" i="6" s="1"/>
  <c r="E176" i="6" s="1"/>
  <c r="H176" i="6"/>
  <c r="C177" i="6"/>
  <c r="F177" i="6"/>
  <c r="G177" i="6"/>
  <c r="D177" i="6" s="1"/>
  <c r="E177" i="6" s="1"/>
  <c r="H177" i="6"/>
  <c r="C178" i="6"/>
  <c r="F178" i="6"/>
  <c r="G178" i="6"/>
  <c r="H178" i="6"/>
  <c r="C179" i="6"/>
  <c r="F179" i="6"/>
  <c r="G179" i="6"/>
  <c r="D179" i="6" s="1"/>
  <c r="E179" i="6" s="1"/>
  <c r="H179" i="6"/>
  <c r="C180" i="6"/>
  <c r="D180" i="6"/>
  <c r="E180" i="6" s="1"/>
  <c r="F180" i="6"/>
  <c r="G180" i="6"/>
  <c r="H180" i="6"/>
  <c r="U120" i="4"/>
  <c r="T121" i="4" s="1"/>
  <c r="W85" i="4"/>
  <c r="U85" i="4"/>
  <c r="M85" i="4"/>
  <c r="G85" i="4"/>
  <c r="V115" i="4"/>
  <c r="D133" i="4"/>
  <c r="F133" i="4" s="1"/>
  <c r="J87" i="4"/>
  <c r="Q90" i="4"/>
  <c r="I90" i="4"/>
  <c r="T214" i="4"/>
  <c r="U214" i="4" s="1"/>
  <c r="V214" i="4" s="1"/>
  <c r="W214" i="4" s="1"/>
  <c r="D263" i="4"/>
  <c r="F263" i="4" s="1"/>
  <c r="X85" i="4"/>
  <c r="T85" i="4"/>
  <c r="R85" i="4"/>
  <c r="P85" i="4"/>
  <c r="J85" i="4"/>
  <c r="H85" i="4"/>
  <c r="B85" i="4"/>
  <c r="V120" i="4"/>
  <c r="W120" i="4" s="1"/>
  <c r="T90" i="4"/>
  <c r="R90" i="4"/>
  <c r="N90" i="4"/>
  <c r="L90" i="4"/>
  <c r="D90" i="4"/>
  <c r="D51" i="4"/>
  <c r="F51" i="4" s="1"/>
  <c r="D36" i="4"/>
  <c r="F36" i="4" s="1"/>
  <c r="U165" i="4"/>
  <c r="T166" i="4" s="1"/>
  <c r="R201" i="4"/>
  <c r="T211" i="4"/>
  <c r="S226" i="4"/>
  <c r="S251" i="4"/>
  <c r="L246" i="4"/>
  <c r="K246" i="4"/>
  <c r="R251" i="4"/>
  <c r="U116" i="4"/>
  <c r="W115" i="4"/>
  <c r="X115" i="4" s="1"/>
  <c r="V116" i="4"/>
  <c r="U211" i="4"/>
  <c r="M246" i="4"/>
  <c r="V250" i="4"/>
  <c r="U251" i="4" s="1"/>
  <c r="T251" i="4"/>
  <c r="V211" i="4"/>
  <c r="N246" i="4"/>
  <c r="X245" i="4"/>
  <c r="X246" i="4" s="1"/>
  <c r="W211" i="4"/>
  <c r="X211" i="4"/>
  <c r="O246" i="4"/>
  <c r="P246" i="4"/>
  <c r="Q246" i="4"/>
  <c r="R246" i="4"/>
  <c r="S246" i="4"/>
  <c r="T246" i="4"/>
  <c r="U246" i="4"/>
  <c r="X244" i="4"/>
  <c r="V246" i="4"/>
  <c r="W130" i="4"/>
  <c r="V131" i="4" s="1"/>
  <c r="U125" i="4"/>
  <c r="V125" i="4" s="1"/>
  <c r="R241" i="4"/>
  <c r="T126" i="4"/>
  <c r="C163" i="6"/>
  <c r="S191" i="4"/>
  <c r="O21" i="6"/>
  <c r="C167" i="6"/>
  <c r="C166" i="6"/>
  <c r="D161" i="6"/>
  <c r="E161" i="6" s="1"/>
  <c r="D158" i="6"/>
  <c r="E158" i="6" s="1"/>
  <c r="D162" i="6"/>
  <c r="E162" i="6" s="1"/>
  <c r="D160" i="6"/>
  <c r="E160" i="6" s="1"/>
  <c r="D159" i="6"/>
  <c r="E159" i="6" s="1"/>
  <c r="D166" i="6"/>
  <c r="E166" i="6" s="1"/>
  <c r="D167" i="6"/>
  <c r="E167" i="6" s="1"/>
  <c r="D163" i="6"/>
  <c r="E163" i="6" s="1"/>
  <c r="D165" i="6"/>
  <c r="E165" i="6" s="1"/>
  <c r="D164" i="6"/>
  <c r="E164" i="6" s="1"/>
  <c r="C165" i="6"/>
  <c r="O22" i="6"/>
  <c r="M22" i="6"/>
  <c r="C164" i="6"/>
  <c r="S206" i="4"/>
  <c r="R206" i="4"/>
  <c r="T206" i="4"/>
  <c r="U206" i="4"/>
  <c r="X205" i="4"/>
  <c r="W206" i="4" s="1"/>
  <c r="V206" i="4"/>
  <c r="X100" i="4"/>
  <c r="L105" i="4"/>
  <c r="C105" i="4"/>
  <c r="G105" i="4"/>
  <c r="K105" i="4"/>
  <c r="O105" i="4"/>
  <c r="S100" i="4"/>
  <c r="U100" i="4"/>
  <c r="H100" i="4"/>
  <c r="Q100" i="4"/>
  <c r="Q105" i="4"/>
  <c r="H4" i="3" l="1"/>
  <c r="O9" i="6"/>
  <c r="K26" i="7" s="1"/>
  <c r="D34" i="6"/>
  <c r="F25" i="7"/>
  <c r="C35" i="6"/>
  <c r="E45" i="7"/>
  <c r="B143" i="6"/>
  <c r="J97" i="7"/>
  <c r="C133" i="6"/>
  <c r="E188" i="6"/>
  <c r="E192" i="6"/>
  <c r="C184" i="6"/>
  <c r="C197" i="6"/>
  <c r="B197" i="6" s="1"/>
  <c r="C198" i="6"/>
  <c r="B189" i="6"/>
  <c r="E127" i="7"/>
  <c r="H69" i="7"/>
  <c r="E8" i="7"/>
  <c r="C148" i="6"/>
  <c r="V165" i="4"/>
  <c r="U166" i="4" s="1"/>
  <c r="J90" i="4"/>
  <c r="W90" i="4"/>
  <c r="D178" i="4"/>
  <c r="F178" i="4" s="1"/>
  <c r="D168" i="4"/>
  <c r="F168" i="4" s="1"/>
  <c r="D158" i="4"/>
  <c r="F158" i="4" s="1"/>
  <c r="D143" i="4"/>
  <c r="F143" i="4" s="1"/>
  <c r="P90" i="4"/>
  <c r="H90" i="4"/>
  <c r="J82" i="4"/>
  <c r="Q85" i="4"/>
  <c r="I85" i="4"/>
  <c r="T234" i="4"/>
  <c r="U234" i="4" s="1"/>
  <c r="V234" i="4" s="1"/>
  <c r="W234" i="4" s="1"/>
  <c r="L100" i="4"/>
  <c r="R105" i="4"/>
  <c r="L4" i="3"/>
  <c r="B79" i="8"/>
  <c r="M194" i="4"/>
  <c r="V100" i="4"/>
  <c r="E105" i="4"/>
  <c r="S105" i="4"/>
  <c r="D279" i="4"/>
  <c r="F279" i="4" s="1"/>
  <c r="U90" i="4"/>
  <c r="E90" i="4"/>
  <c r="G100" i="4"/>
  <c r="P100" i="4"/>
  <c r="T105" i="4"/>
  <c r="B77" i="8"/>
  <c r="D274" i="4"/>
  <c r="F274" i="4" s="1"/>
  <c r="D258" i="4"/>
  <c r="F258" i="4" s="1"/>
  <c r="D218" i="4"/>
  <c r="F218" i="4" s="1"/>
  <c r="M90" i="4"/>
  <c r="C182" i="6"/>
  <c r="R216" i="4"/>
  <c r="M20" i="6"/>
  <c r="B100" i="4"/>
  <c r="J100" i="4"/>
  <c r="C136" i="6"/>
  <c r="C90" i="4"/>
  <c r="S85" i="4"/>
  <c r="K85" i="4"/>
  <c r="D67" i="4"/>
  <c r="F67" i="4" s="1"/>
  <c r="D61" i="4"/>
  <c r="F61" i="4" s="1"/>
  <c r="D46" i="4"/>
  <c r="F46" i="4" s="1"/>
  <c r="D41" i="4"/>
  <c r="F41" i="4" s="1"/>
  <c r="D26" i="4"/>
  <c r="F26" i="4" s="1"/>
  <c r="R100" i="4"/>
  <c r="E185" i="6"/>
  <c r="W116" i="4"/>
  <c r="D113" i="4" s="1"/>
  <c r="F113" i="4" s="1"/>
  <c r="X116" i="4"/>
  <c r="X120" i="4"/>
  <c r="V121" i="4"/>
  <c r="U239" i="4"/>
  <c r="V239" i="4" s="1"/>
  <c r="W239" i="4" s="1"/>
  <c r="X239" i="4" s="1"/>
  <c r="S241" i="4"/>
  <c r="U126" i="4"/>
  <c r="W125" i="4"/>
  <c r="S216" i="4"/>
  <c r="U215" i="4"/>
  <c r="T216" i="4" s="1"/>
  <c r="D309" i="4"/>
  <c r="F309" i="4" s="1"/>
  <c r="D299" i="4"/>
  <c r="F299" i="4" s="1"/>
  <c r="D294" i="4"/>
  <c r="F294" i="4" s="1"/>
  <c r="D208" i="4"/>
  <c r="F208" i="4" s="1"/>
  <c r="B90" i="4"/>
  <c r="W165" i="4"/>
  <c r="U121" i="4"/>
  <c r="U110" i="4"/>
  <c r="J97" i="4"/>
  <c r="F100" i="4"/>
  <c r="N100" i="4"/>
  <c r="T100" i="4"/>
  <c r="V105" i="4"/>
  <c r="T241" i="4"/>
  <c r="C100" i="4"/>
  <c r="W100" i="4"/>
  <c r="H105" i="4"/>
  <c r="U105" i="4"/>
  <c r="D126" i="6"/>
  <c r="W250" i="4"/>
  <c r="X250" i="4" s="1"/>
  <c r="X251" i="4" s="1"/>
  <c r="D289" i="4"/>
  <c r="F289" i="4" s="1"/>
  <c r="X130" i="4"/>
  <c r="W246" i="4"/>
  <c r="D243" i="4" s="1"/>
  <c r="F243" i="4" s="1"/>
  <c r="C85" i="4"/>
  <c r="B199" i="6"/>
  <c r="D100" i="4"/>
  <c r="J102" i="4"/>
  <c r="F105" i="4"/>
  <c r="M105" i="4"/>
  <c r="E186" i="6"/>
  <c r="E187" i="6"/>
  <c r="J24" i="7"/>
  <c r="D304" i="4"/>
  <c r="F304" i="4" s="1"/>
  <c r="U200" i="4"/>
  <c r="S201" i="4"/>
  <c r="T191" i="4"/>
  <c r="V190" i="4"/>
  <c r="T226" i="4"/>
  <c r="V225" i="4"/>
  <c r="X255" i="4"/>
  <c r="V256" i="4"/>
  <c r="X240" i="4"/>
  <c r="W251" i="4"/>
  <c r="U235" i="4"/>
  <c r="K100" i="4"/>
  <c r="M100" i="4"/>
  <c r="O100" i="4"/>
  <c r="D105" i="4"/>
  <c r="W105" i="4"/>
  <c r="I100" i="4"/>
  <c r="X206" i="4"/>
  <c r="D203" i="4" s="1"/>
  <c r="F203" i="4" s="1"/>
  <c r="V215" i="4"/>
  <c r="B2" i="4"/>
  <c r="M24" i="6"/>
  <c r="K24" i="7"/>
  <c r="F94" i="7"/>
  <c r="M23" i="6"/>
  <c r="B57" i="8"/>
  <c r="C57" i="8" s="1"/>
  <c r="C14" i="1"/>
  <c r="H51" i="7" s="1"/>
  <c r="B59" i="8"/>
  <c r="C59" i="8" s="1"/>
  <c r="D178" i="6"/>
  <c r="E178" i="6" s="1"/>
  <c r="C34" i="6"/>
  <c r="E56" i="7" s="1"/>
  <c r="B61" i="8"/>
  <c r="C61" i="8" s="1"/>
  <c r="E40" i="7"/>
  <c r="O23" i="6"/>
  <c r="O24" i="6"/>
  <c r="B53" i="8"/>
  <c r="C53" i="8" s="1"/>
  <c r="B63" i="8"/>
  <c r="C63" i="8" s="1"/>
  <c r="B67" i="8"/>
  <c r="C67" i="8" s="1"/>
  <c r="B62" i="8"/>
  <c r="C62" i="8" s="1"/>
  <c r="B65" i="8"/>
  <c r="C65" i="8" s="1"/>
  <c r="H27" i="6"/>
  <c r="H45" i="7" s="1"/>
  <c r="C15" i="8"/>
  <c r="B66" i="8"/>
  <c r="C66" i="8" s="1"/>
  <c r="B54" i="8"/>
  <c r="C54" i="8" s="1"/>
  <c r="B56" i="8"/>
  <c r="C56" i="8" s="1"/>
  <c r="B60" i="8"/>
  <c r="C60" i="8" s="1"/>
  <c r="O18" i="6"/>
  <c r="B52" i="8"/>
  <c r="C52" i="8" s="1"/>
  <c r="D26" i="7"/>
  <c r="B51" i="8"/>
  <c r="C51" i="8" s="1"/>
  <c r="B58" i="8"/>
  <c r="C58" i="8" s="1"/>
  <c r="B64" i="8"/>
  <c r="C64" i="8" s="1"/>
  <c r="B50" i="8"/>
  <c r="C50" i="8" s="1"/>
  <c r="B55" i="8"/>
  <c r="C55" i="8" s="1"/>
  <c r="T14" i="6"/>
  <c r="C173" i="6"/>
  <c r="C172" i="6"/>
  <c r="C195" i="6"/>
  <c r="A317" i="4" a="1"/>
  <c r="A341" i="4" s="1"/>
  <c r="D148" i="4"/>
  <c r="F148" i="4" s="1"/>
  <c r="H27" i="1"/>
  <c r="H67" i="7"/>
  <c r="H17" i="7"/>
  <c r="B106" i="1"/>
  <c r="E24" i="1"/>
  <c r="B108" i="1"/>
  <c r="H46" i="1"/>
  <c r="B157" i="1"/>
  <c r="B131" i="1"/>
  <c r="G4" i="3"/>
  <c r="C139" i="6"/>
  <c r="C134" i="6"/>
  <c r="C143" i="6"/>
  <c r="C146" i="6"/>
  <c r="AD4" i="3"/>
  <c r="E190" i="6"/>
  <c r="D30" i="1"/>
  <c r="I68" i="7" s="1"/>
  <c r="AE4" i="3"/>
  <c r="T19" i="6"/>
  <c r="C142" i="6"/>
  <c r="C141" i="6"/>
  <c r="C145" i="6"/>
  <c r="I71" i="7"/>
  <c r="B75" i="8"/>
  <c r="C196" i="6"/>
  <c r="B196" i="6" s="1"/>
  <c r="C147" i="6"/>
  <c r="E42" i="7"/>
  <c r="E193" i="6"/>
  <c r="E189" i="6"/>
  <c r="C183" i="6"/>
  <c r="J90" i="7"/>
  <c r="F118" i="7" s="1"/>
  <c r="C132" i="6"/>
  <c r="F27" i="7"/>
  <c r="C137" i="6"/>
  <c r="C135" i="6"/>
  <c r="C138" i="6"/>
  <c r="E33" i="6"/>
  <c r="C144" i="6"/>
  <c r="T17" i="6"/>
  <c r="E14" i="7"/>
  <c r="B201" i="6"/>
  <c r="C201" i="6" s="1"/>
  <c r="B186" i="6"/>
  <c r="B200" i="6"/>
  <c r="C200" i="6" s="1"/>
  <c r="E183" i="6"/>
  <c r="B187" i="6"/>
  <c r="E184" i="6"/>
  <c r="B202" i="6"/>
  <c r="D3" i="4"/>
  <c r="C128" i="6" l="1"/>
  <c r="C129" i="6" s="1"/>
  <c r="U241" i="4"/>
  <c r="S236" i="4"/>
  <c r="D82" i="4"/>
  <c r="F82" i="4" s="1"/>
  <c r="N194" i="4"/>
  <c r="L196" i="4"/>
  <c r="D97" i="4"/>
  <c r="F97" i="4" s="1"/>
  <c r="V241" i="4"/>
  <c r="D87" i="4"/>
  <c r="F87" i="4" s="1"/>
  <c r="V166" i="4"/>
  <c r="X165" i="4"/>
  <c r="V126" i="4"/>
  <c r="X125" i="4"/>
  <c r="V251" i="4"/>
  <c r="D248" i="4" s="1"/>
  <c r="F248" i="4" s="1"/>
  <c r="X131" i="4"/>
  <c r="W131" i="4"/>
  <c r="D128" i="4" s="1"/>
  <c r="V110" i="4"/>
  <c r="T111" i="4"/>
  <c r="D102" i="4"/>
  <c r="F102" i="4" s="1"/>
  <c r="E126" i="6"/>
  <c r="D127" i="6"/>
  <c r="W121" i="4"/>
  <c r="X121" i="4"/>
  <c r="W225" i="4"/>
  <c r="U226" i="4"/>
  <c r="X256" i="4"/>
  <c r="W256" i="4"/>
  <c r="D253" i="4" s="1"/>
  <c r="T201" i="4"/>
  <c r="V200" i="4"/>
  <c r="W215" i="4"/>
  <c r="U216" i="4"/>
  <c r="T236" i="4"/>
  <c r="V235" i="4"/>
  <c r="X241" i="4"/>
  <c r="W241" i="4"/>
  <c r="U191" i="4"/>
  <c r="W190" i="4"/>
  <c r="D157" i="6"/>
  <c r="D137" i="6"/>
  <c r="W4" i="3"/>
  <c r="D139" i="6"/>
  <c r="D133" i="6"/>
  <c r="E133" i="6" s="1"/>
  <c r="D156" i="6"/>
  <c r="D135" i="6"/>
  <c r="E135" i="6" s="1"/>
  <c r="E52" i="7"/>
  <c r="D140" i="6"/>
  <c r="E30" i="6"/>
  <c r="E28" i="6" s="1"/>
  <c r="E34" i="6"/>
  <c r="D138" i="6"/>
  <c r="D145" i="6"/>
  <c r="D148" i="6"/>
  <c r="D143" i="6"/>
  <c r="D141" i="6"/>
  <c r="D134" i="6"/>
  <c r="E134" i="6" s="1"/>
  <c r="O20" i="6"/>
  <c r="I28" i="6" s="1"/>
  <c r="D136" i="6"/>
  <c r="E136" i="6" s="1"/>
  <c r="D147" i="6"/>
  <c r="E57" i="7"/>
  <c r="D142" i="6"/>
  <c r="D155" i="6"/>
  <c r="D132" i="6"/>
  <c r="E132" i="6" s="1"/>
  <c r="C168" i="6"/>
  <c r="C169" i="6" s="1"/>
  <c r="D168" i="6"/>
  <c r="D169" i="6" s="1"/>
  <c r="D144" i="6"/>
  <c r="E53" i="7"/>
  <c r="D146" i="6"/>
  <c r="S27" i="6"/>
  <c r="H12" i="7"/>
  <c r="I16" i="7"/>
  <c r="K49" i="1"/>
  <c r="R27" i="1"/>
  <c r="A323" i="4"/>
  <c r="A330" i="4"/>
  <c r="A331" i="4"/>
  <c r="A343" i="4"/>
  <c r="A339" i="4"/>
  <c r="A327" i="4"/>
  <c r="A338" i="4"/>
  <c r="A320" i="4"/>
  <c r="A332" i="4"/>
  <c r="A337" i="4"/>
  <c r="A340" i="4"/>
  <c r="A318" i="4"/>
  <c r="A333" i="4"/>
  <c r="A328" i="4"/>
  <c r="A342" i="4"/>
  <c r="A325" i="4"/>
  <c r="A336" i="4"/>
  <c r="A317" i="4"/>
  <c r="A346" i="4"/>
  <c r="A322" i="4"/>
  <c r="A329" i="4"/>
  <c r="A321" i="4"/>
  <c r="A326" i="4"/>
  <c r="A345" i="4"/>
  <c r="A319" i="4"/>
  <c r="A324" i="4"/>
  <c r="A335" i="4"/>
  <c r="A344" i="4"/>
  <c r="A334" i="4"/>
  <c r="U4" i="4"/>
  <c r="K3" i="4"/>
  <c r="H3" i="4"/>
  <c r="L4" i="4"/>
  <c r="X4" i="4"/>
  <c r="T2" i="4"/>
  <c r="X2" i="4"/>
  <c r="R4" i="4"/>
  <c r="S3" i="4"/>
  <c r="B3" i="4"/>
  <c r="S4" i="4"/>
  <c r="R2" i="4"/>
  <c r="K4" i="4"/>
  <c r="T4" i="4"/>
  <c r="W4" i="4"/>
  <c r="L3" i="4"/>
  <c r="D4" i="4"/>
  <c r="E3" i="4"/>
  <c r="J3" i="4"/>
  <c r="Q4" i="4"/>
  <c r="D2" i="4"/>
  <c r="X3" i="4"/>
  <c r="F3" i="4"/>
  <c r="N4" i="4"/>
  <c r="W3" i="4"/>
  <c r="V2" i="4"/>
  <c r="J4" i="4"/>
  <c r="V3" i="4"/>
  <c r="J2" i="4"/>
  <c r="Y3" i="4"/>
  <c r="H4" i="4"/>
  <c r="O3" i="4"/>
  <c r="M4" i="4"/>
  <c r="C4" i="4"/>
  <c r="U3" i="4"/>
  <c r="Z2" i="4"/>
  <c r="Q3" i="4"/>
  <c r="B4" i="4"/>
  <c r="M3" i="4"/>
  <c r="L2" i="4"/>
  <c r="F4" i="4"/>
  <c r="R3" i="4"/>
  <c r="C3" i="4"/>
  <c r="Y4" i="4"/>
  <c r="I4" i="4"/>
  <c r="E4" i="4"/>
  <c r="T3" i="4"/>
  <c r="P3" i="4"/>
  <c r="N2" i="4"/>
  <c r="G3" i="4"/>
  <c r="P4" i="4"/>
  <c r="P2" i="4"/>
  <c r="O4" i="4"/>
  <c r="I3" i="4"/>
  <c r="H2" i="4"/>
  <c r="V4" i="4"/>
  <c r="F2" i="4"/>
  <c r="N3" i="4"/>
  <c r="G4" i="4"/>
  <c r="P14" i="6" l="1"/>
  <c r="N14" i="6" s="1"/>
  <c r="C210" i="6"/>
  <c r="C207" i="6"/>
  <c r="C206" i="6"/>
  <c r="C205" i="6"/>
  <c r="C209" i="6"/>
  <c r="C208" i="6"/>
  <c r="N13" i="6"/>
  <c r="N12" i="6"/>
  <c r="A5" i="3"/>
  <c r="B5" i="3" s="1"/>
  <c r="Z5" i="3" s="1"/>
  <c r="O194" i="4"/>
  <c r="M196" i="4"/>
  <c r="D238" i="4"/>
  <c r="F106" i="1"/>
  <c r="F105" i="1"/>
  <c r="F104" i="1"/>
  <c r="H18" i="7"/>
  <c r="F107" i="1"/>
  <c r="F103" i="1"/>
  <c r="E101" i="7"/>
  <c r="C171" i="6"/>
  <c r="C170" i="6"/>
  <c r="E49" i="7"/>
  <c r="E18" i="7"/>
  <c r="T13" i="6"/>
  <c r="T12" i="6"/>
  <c r="C174" i="6"/>
  <c r="M13" i="6"/>
  <c r="D171" i="6"/>
  <c r="B48" i="8"/>
  <c r="C48" i="8" s="1"/>
  <c r="D174" i="6"/>
  <c r="B43" i="8"/>
  <c r="C43" i="8" s="1"/>
  <c r="B49" i="8"/>
  <c r="C49" i="8" s="1"/>
  <c r="B41" i="8"/>
  <c r="C41" i="8" s="1"/>
  <c r="B42" i="8"/>
  <c r="C42" i="8" s="1"/>
  <c r="B44" i="8"/>
  <c r="C44" i="8" s="1"/>
  <c r="D172" i="6"/>
  <c r="D170" i="6"/>
  <c r="D173" i="6"/>
  <c r="B46" i="8"/>
  <c r="C46" i="8" s="1"/>
  <c r="B47" i="8"/>
  <c r="C47" i="8" s="1"/>
  <c r="B45" i="8"/>
  <c r="C45" i="8" s="1"/>
  <c r="M12" i="6"/>
  <c r="W166" i="4"/>
  <c r="D163" i="4" s="1"/>
  <c r="F163" i="4" s="1"/>
  <c r="X166" i="4"/>
  <c r="E127" i="6"/>
  <c r="D128" i="6"/>
  <c r="W110" i="4"/>
  <c r="U111" i="4"/>
  <c r="X126" i="4"/>
  <c r="W126" i="4"/>
  <c r="D123" i="4" s="1"/>
  <c r="D118" i="4"/>
  <c r="F118" i="4" s="1"/>
  <c r="W235" i="4"/>
  <c r="U236" i="4"/>
  <c r="W200" i="4"/>
  <c r="U201" i="4"/>
  <c r="X215" i="4"/>
  <c r="V216" i="4"/>
  <c r="V226" i="4"/>
  <c r="X225" i="4"/>
  <c r="X190" i="4"/>
  <c r="V191" i="4"/>
  <c r="I31" i="6"/>
  <c r="C154" i="6" s="1"/>
  <c r="O19" i="6"/>
  <c r="M19" i="6" s="1"/>
  <c r="H31" i="6" s="1"/>
  <c r="E29" i="6"/>
  <c r="E35" i="6" s="1"/>
  <c r="C191" i="6"/>
  <c r="D153" i="6"/>
  <c r="C192" i="6"/>
  <c r="D64" i="8" l="1"/>
  <c r="E64" i="8" s="1"/>
  <c r="H64" i="8" s="1"/>
  <c r="D41" i="8"/>
  <c r="E41" i="8" s="1"/>
  <c r="G41" i="8" s="1"/>
  <c r="D52" i="8"/>
  <c r="E52" i="8" s="1"/>
  <c r="H52" i="8" s="1"/>
  <c r="D60" i="8"/>
  <c r="F60" i="8" s="1"/>
  <c r="I60" i="8" s="1"/>
  <c r="D48" i="8"/>
  <c r="F48" i="8" s="1"/>
  <c r="I48" i="8" s="1"/>
  <c r="D49" i="8"/>
  <c r="E49" i="8" s="1"/>
  <c r="G49" i="8" s="1"/>
  <c r="D44" i="8"/>
  <c r="F44" i="8" s="1"/>
  <c r="I44" i="8" s="1"/>
  <c r="D51" i="8"/>
  <c r="E51" i="8" s="1"/>
  <c r="G51" i="8" s="1"/>
  <c r="D58" i="8"/>
  <c r="E58" i="8" s="1"/>
  <c r="G58" i="8" s="1"/>
  <c r="D67" i="8"/>
  <c r="F67" i="8" s="1"/>
  <c r="I67" i="8" s="1"/>
  <c r="D47" i="8"/>
  <c r="E47" i="8" s="1"/>
  <c r="G47" i="8" s="1"/>
  <c r="D54" i="8"/>
  <c r="F54" i="8" s="1"/>
  <c r="I54" i="8" s="1"/>
  <c r="D42" i="8"/>
  <c r="E42" i="8" s="1"/>
  <c r="G42" i="8" s="1"/>
  <c r="D59" i="8"/>
  <c r="F59" i="8" s="1"/>
  <c r="I59" i="8" s="1"/>
  <c r="D61" i="8"/>
  <c r="E61" i="8" s="1"/>
  <c r="G61" i="8" s="1"/>
  <c r="D62" i="8"/>
  <c r="E62" i="8" s="1"/>
  <c r="H62" i="8" s="1"/>
  <c r="D66" i="8"/>
  <c r="F66" i="8" s="1"/>
  <c r="I66" i="8" s="1"/>
  <c r="D43" i="8"/>
  <c r="E43" i="8" s="1"/>
  <c r="G43" i="8" s="1"/>
  <c r="D53" i="8"/>
  <c r="F53" i="8" s="1"/>
  <c r="I53" i="8" s="1"/>
  <c r="D45" i="8"/>
  <c r="E45" i="8" s="1"/>
  <c r="G45" i="8" s="1"/>
  <c r="D56" i="8"/>
  <c r="F56" i="8" s="1"/>
  <c r="I56" i="8" s="1"/>
  <c r="D46" i="8"/>
  <c r="F46" i="8" s="1"/>
  <c r="I46" i="8" s="1"/>
  <c r="D65" i="8"/>
  <c r="E65" i="8" s="1"/>
  <c r="H65" i="8" s="1"/>
  <c r="M14" i="6"/>
  <c r="C10" i="1" s="1"/>
  <c r="S4" i="3" s="1"/>
  <c r="T4" i="3" s="1"/>
  <c r="U4" i="3" s="1"/>
  <c r="D50" i="8"/>
  <c r="F50" i="8" s="1"/>
  <c r="I50" i="8" s="1"/>
  <c r="D55" i="8"/>
  <c r="E55" i="8" s="1"/>
  <c r="G55" i="8" s="1"/>
  <c r="D63" i="8"/>
  <c r="E63" i="8" s="1"/>
  <c r="H63" i="8" s="1"/>
  <c r="D57" i="8"/>
  <c r="E57" i="8" s="1"/>
  <c r="H57" i="8" s="1"/>
  <c r="E11" i="7"/>
  <c r="C10" i="8"/>
  <c r="H41" i="7"/>
  <c r="E107" i="7"/>
  <c r="H5" i="7"/>
  <c r="P15" i="6"/>
  <c r="I41" i="7"/>
  <c r="C24" i="1"/>
  <c r="C30" i="1" s="1"/>
  <c r="P27" i="1" s="1"/>
  <c r="C204" i="6"/>
  <c r="AC5" i="3"/>
  <c r="P5" i="3"/>
  <c r="Q5" i="3" s="1"/>
  <c r="R5" i="3" s="1"/>
  <c r="AA5" i="3"/>
  <c r="A6" i="3"/>
  <c r="B6" i="3" s="1"/>
  <c r="AC6" i="3" s="1"/>
  <c r="AD5" i="3"/>
  <c r="E110" i="7"/>
  <c r="N196" i="4"/>
  <c r="P194" i="4"/>
  <c r="V111" i="4"/>
  <c r="X110" i="4"/>
  <c r="E128" i="6"/>
  <c r="D129" i="6"/>
  <c r="X200" i="4"/>
  <c r="V201" i="4"/>
  <c r="W226" i="4"/>
  <c r="X226" i="4"/>
  <c r="X191" i="4"/>
  <c r="W191" i="4"/>
  <c r="W216" i="4"/>
  <c r="D213" i="4" s="1"/>
  <c r="F213" i="4" s="1"/>
  <c r="X216" i="4"/>
  <c r="V236" i="4"/>
  <c r="X235" i="4"/>
  <c r="H28" i="6"/>
  <c r="C190" i="6" s="1"/>
  <c r="C153" i="6"/>
  <c r="C157" i="6"/>
  <c r="C151" i="6"/>
  <c r="C152" i="6"/>
  <c r="F43" i="8" l="1"/>
  <c r="I43" i="8" s="1"/>
  <c r="F58" i="8"/>
  <c r="I58" i="8" s="1"/>
  <c r="F47" i="8"/>
  <c r="I47" i="8" s="1"/>
  <c r="F64" i="8"/>
  <c r="I64" i="8" s="1"/>
  <c r="G64" i="8"/>
  <c r="J64" i="8" s="1"/>
  <c r="H58" i="8"/>
  <c r="K58" i="8" s="1"/>
  <c r="F41" i="8"/>
  <c r="I41" i="8" s="1"/>
  <c r="H41" i="8"/>
  <c r="J41" i="8" s="1"/>
  <c r="H47" i="8"/>
  <c r="J47" i="8" s="1"/>
  <c r="G52" i="8"/>
  <c r="K52" i="8" s="1"/>
  <c r="F52" i="8"/>
  <c r="I52" i="8" s="1"/>
  <c r="E67" i="8"/>
  <c r="H67" i="8" s="1"/>
  <c r="H43" i="8"/>
  <c r="J43" i="8" s="1"/>
  <c r="F45" i="8"/>
  <c r="I45" i="8" s="1"/>
  <c r="F57" i="8"/>
  <c r="I57" i="8" s="1"/>
  <c r="E66" i="8"/>
  <c r="H66" i="8" s="1"/>
  <c r="H45" i="8"/>
  <c r="J45" i="8" s="1"/>
  <c r="H49" i="8"/>
  <c r="J49" i="8" s="1"/>
  <c r="G57" i="8"/>
  <c r="K57" i="8" s="1"/>
  <c r="E56" i="8"/>
  <c r="G56" i="8" s="1"/>
  <c r="E54" i="8"/>
  <c r="H54" i="8" s="1"/>
  <c r="E60" i="8"/>
  <c r="H60" i="8" s="1"/>
  <c r="H42" i="8"/>
  <c r="J42" i="8" s="1"/>
  <c r="H61" i="8"/>
  <c r="K61" i="8" s="1"/>
  <c r="E46" i="8"/>
  <c r="G46" i="8" s="1"/>
  <c r="F49" i="8"/>
  <c r="I49" i="8" s="1"/>
  <c r="E48" i="8"/>
  <c r="G48" i="8" s="1"/>
  <c r="F42" i="8"/>
  <c r="I42" i="8" s="1"/>
  <c r="F61" i="8"/>
  <c r="I61" i="8" s="1"/>
  <c r="F62" i="8"/>
  <c r="I62" i="8" s="1"/>
  <c r="G65" i="8"/>
  <c r="K65" i="8" s="1"/>
  <c r="E44" i="8"/>
  <c r="G44" i="8" s="1"/>
  <c r="F51" i="8"/>
  <c r="I51" i="8" s="1"/>
  <c r="H51" i="8"/>
  <c r="J51" i="8" s="1"/>
  <c r="C11" i="8"/>
  <c r="G62" i="8"/>
  <c r="J62" i="8" s="1"/>
  <c r="E59" i="8"/>
  <c r="G59" i="8" s="1"/>
  <c r="M15" i="6"/>
  <c r="J42" i="7" s="1"/>
  <c r="E53" i="8"/>
  <c r="H53" i="8" s="1"/>
  <c r="F65" i="8"/>
  <c r="I65" i="8" s="1"/>
  <c r="E50" i="8"/>
  <c r="H50" i="8" s="1"/>
  <c r="F107" i="7"/>
  <c r="S5" i="3"/>
  <c r="T5" i="3" s="1"/>
  <c r="E5" i="3" s="1"/>
  <c r="H5" i="3" s="1"/>
  <c r="F55" i="8"/>
  <c r="I55" i="8" s="1"/>
  <c r="J41" i="7"/>
  <c r="F63" i="8"/>
  <c r="I63" i="8" s="1"/>
  <c r="G63" i="8"/>
  <c r="J63" i="8" s="1"/>
  <c r="E58" i="7"/>
  <c r="H65" i="7" s="1"/>
  <c r="H55" i="8"/>
  <c r="K55" i="8" s="1"/>
  <c r="H42" i="7"/>
  <c r="D23" i="7"/>
  <c r="E108" i="7"/>
  <c r="N15" i="6"/>
  <c r="P28" i="1"/>
  <c r="K47" i="1"/>
  <c r="H16" i="7"/>
  <c r="C194" i="6"/>
  <c r="H46" i="7"/>
  <c r="H13" i="7"/>
  <c r="D152" i="6"/>
  <c r="H68" i="7"/>
  <c r="H71" i="7"/>
  <c r="P6" i="3"/>
  <c r="Q6" i="3" s="1"/>
  <c r="R6" i="3" s="1"/>
  <c r="A7" i="3"/>
  <c r="B7" i="3" s="1"/>
  <c r="AD7" i="3" s="1"/>
  <c r="Z6" i="3"/>
  <c r="AA6" i="3"/>
  <c r="Q194" i="4"/>
  <c r="O196" i="4"/>
  <c r="AD6" i="3"/>
  <c r="D223" i="4"/>
  <c r="F223" i="4" s="1"/>
  <c r="X111" i="4"/>
  <c r="W111" i="4"/>
  <c r="D108" i="4" s="1"/>
  <c r="D188" i="4"/>
  <c r="F188" i="4" s="1"/>
  <c r="D130" i="6"/>
  <c r="E130" i="6" s="1"/>
  <c r="E129" i="6"/>
  <c r="S28" i="6"/>
  <c r="C193" i="6"/>
  <c r="X236" i="4"/>
  <c r="W236" i="4"/>
  <c r="W201" i="4"/>
  <c r="X201" i="4"/>
  <c r="M58" i="8" l="1"/>
  <c r="K64" i="8"/>
  <c r="L64" i="8" s="1"/>
  <c r="J58" i="8"/>
  <c r="L58" i="8" s="1"/>
  <c r="K41" i="8"/>
  <c r="M41" i="8" s="1"/>
  <c r="J52" i="8"/>
  <c r="L52" i="8" s="1"/>
  <c r="K47" i="8"/>
  <c r="M47" i="8" s="1"/>
  <c r="M52" i="8"/>
  <c r="G67" i="8"/>
  <c r="J67" i="8" s="1"/>
  <c r="K43" i="8"/>
  <c r="M43" i="8" s="1"/>
  <c r="M57" i="8"/>
  <c r="C155" i="6"/>
  <c r="C156" i="6" s="1"/>
  <c r="H46" i="8"/>
  <c r="J46" i="8" s="1"/>
  <c r="K51" i="8"/>
  <c r="L51" i="8" s="1"/>
  <c r="G66" i="8"/>
  <c r="J66" i="8" s="1"/>
  <c r="K45" i="8"/>
  <c r="M45" i="8" s="1"/>
  <c r="S6" i="3"/>
  <c r="T6" i="3" s="1"/>
  <c r="K49" i="8"/>
  <c r="M49" i="8" s="1"/>
  <c r="J57" i="8"/>
  <c r="L57" i="8" s="1"/>
  <c r="H56" i="8"/>
  <c r="J56" i="8" s="1"/>
  <c r="G60" i="8"/>
  <c r="J60" i="8" s="1"/>
  <c r="C149" i="6"/>
  <c r="H44" i="8"/>
  <c r="J44" i="8" s="1"/>
  <c r="J65" i="8"/>
  <c r="L65" i="8" s="1"/>
  <c r="K62" i="8"/>
  <c r="L62" i="8" s="1"/>
  <c r="G53" i="8"/>
  <c r="K53" i="8" s="1"/>
  <c r="M53" i="8" s="1"/>
  <c r="G54" i="8"/>
  <c r="J54" i="8" s="1"/>
  <c r="M61" i="8"/>
  <c r="K42" i="8"/>
  <c r="M42" i="8" s="1"/>
  <c r="J61" i="8"/>
  <c r="L61" i="8" s="1"/>
  <c r="M65" i="8"/>
  <c r="D5" i="3"/>
  <c r="F5" i="3" s="1"/>
  <c r="G50" i="8"/>
  <c r="J50" i="8" s="1"/>
  <c r="H48" i="8"/>
  <c r="J48" i="8" s="1"/>
  <c r="AH5" i="3"/>
  <c r="AG5" i="3"/>
  <c r="H59" i="8"/>
  <c r="J59" i="8" s="1"/>
  <c r="F108" i="7"/>
  <c r="H32" i="6"/>
  <c r="H29" i="6"/>
  <c r="H47" i="7" s="1"/>
  <c r="B191" i="6"/>
  <c r="M55" i="8"/>
  <c r="K63" i="8"/>
  <c r="M63" i="8" s="1"/>
  <c r="J55" i="8"/>
  <c r="L55" i="8" s="1"/>
  <c r="C150" i="6"/>
  <c r="B193" i="6"/>
  <c r="I32" i="6"/>
  <c r="B192" i="6"/>
  <c r="I42" i="7"/>
  <c r="I29" i="6"/>
  <c r="A8" i="3"/>
  <c r="B8" i="3" s="1"/>
  <c r="AC8" i="3" s="1"/>
  <c r="Z7" i="3"/>
  <c r="P7" i="3"/>
  <c r="Q7" i="3" s="1"/>
  <c r="R7" i="3" s="1"/>
  <c r="AC7" i="3"/>
  <c r="AA7" i="3"/>
  <c r="D198" i="4"/>
  <c r="F198" i="4" s="1"/>
  <c r="R194" i="4"/>
  <c r="P196" i="4"/>
  <c r="F108" i="4"/>
  <c r="D233" i="4"/>
  <c r="F233" i="4" s="1"/>
  <c r="K5" i="3"/>
  <c r="M64" i="8" l="1"/>
  <c r="L41" i="8"/>
  <c r="K46" i="8"/>
  <c r="M46" i="8" s="1"/>
  <c r="L47" i="8"/>
  <c r="K67" i="8"/>
  <c r="M67" i="8" s="1"/>
  <c r="L43" i="8"/>
  <c r="M51" i="8"/>
  <c r="K66" i="8"/>
  <c r="M66" i="8" s="1"/>
  <c r="L45" i="8"/>
  <c r="L49" i="8"/>
  <c r="M62" i="8"/>
  <c r="S7" i="3"/>
  <c r="T7" i="3" s="1"/>
  <c r="H30" i="6"/>
  <c r="H48" i="7" s="1"/>
  <c r="K54" i="8"/>
  <c r="M54" i="8" s="1"/>
  <c r="K56" i="8"/>
  <c r="M56" i="8" s="1"/>
  <c r="K60" i="8"/>
  <c r="M60" i="8" s="1"/>
  <c r="J53" i="8"/>
  <c r="L53" i="8" s="1"/>
  <c r="K50" i="8"/>
  <c r="M50" i="8" s="1"/>
  <c r="K44" i="8"/>
  <c r="M44" i="8" s="1"/>
  <c r="L63" i="8"/>
  <c r="G5" i="3"/>
  <c r="I5" i="3" s="1"/>
  <c r="K48" i="8"/>
  <c r="L48" i="8" s="1"/>
  <c r="S29" i="6"/>
  <c r="L42" i="8"/>
  <c r="K59" i="8"/>
  <c r="M59" i="8" s="1"/>
  <c r="B194" i="6"/>
  <c r="B190" i="6"/>
  <c r="H14" i="7"/>
  <c r="I14" i="7"/>
  <c r="I30" i="6"/>
  <c r="I47" i="7"/>
  <c r="P8" i="3"/>
  <c r="Q8" i="3" s="1"/>
  <c r="R8" i="3" s="1"/>
  <c r="AD8" i="3"/>
  <c r="AA8" i="3"/>
  <c r="Z8" i="3"/>
  <c r="A9" i="3"/>
  <c r="B9" i="3" s="1"/>
  <c r="AD9" i="3" s="1"/>
  <c r="S194" i="4"/>
  <c r="Q196" i="4"/>
  <c r="V5" i="3"/>
  <c r="AE5" i="3"/>
  <c r="L46" i="8" l="1"/>
  <c r="L67" i="8"/>
  <c r="L66" i="8"/>
  <c r="S8" i="3"/>
  <c r="T8" i="3" s="1"/>
  <c r="H15" i="7"/>
  <c r="H33" i="6"/>
  <c r="L54" i="8"/>
  <c r="L56" i="8"/>
  <c r="L60" i="8"/>
  <c r="L50" i="8"/>
  <c r="L59" i="8"/>
  <c r="J5" i="3"/>
  <c r="L5" i="3" s="1"/>
  <c r="M5" i="3"/>
  <c r="N5" i="3" s="1"/>
  <c r="M48" i="8"/>
  <c r="L44" i="8"/>
  <c r="I48" i="7"/>
  <c r="I15" i="7"/>
  <c r="S30" i="6"/>
  <c r="A10" i="3"/>
  <c r="B10" i="3" s="1"/>
  <c r="P10" i="3" s="1"/>
  <c r="Q10" i="3" s="1"/>
  <c r="R10" i="3" s="1"/>
  <c r="AC9" i="3"/>
  <c r="P9" i="3"/>
  <c r="Q9" i="3" s="1"/>
  <c r="R9" i="3" s="1"/>
  <c r="Z9" i="3"/>
  <c r="AA9" i="3"/>
  <c r="T194" i="4"/>
  <c r="R196" i="4"/>
  <c r="W5" i="3"/>
  <c r="S9" i="3" l="1"/>
  <c r="T9" i="3" s="1"/>
  <c r="AA10" i="3"/>
  <c r="AC10" i="3"/>
  <c r="AD10" i="3"/>
  <c r="Z10" i="3"/>
  <c r="A11" i="3"/>
  <c r="B11" i="3" s="1"/>
  <c r="AC11" i="3" s="1"/>
  <c r="U194" i="4"/>
  <c r="S196" i="4"/>
  <c r="U5" i="3"/>
  <c r="D6" i="3" s="1"/>
  <c r="AG6" i="3"/>
  <c r="AH6" i="3"/>
  <c r="S10" i="3" l="1"/>
  <c r="T10" i="3" s="1"/>
  <c r="AA11" i="3"/>
  <c r="P11" i="3"/>
  <c r="Q11" i="3" s="1"/>
  <c r="R11" i="3" s="1"/>
  <c r="S11" i="3" s="1"/>
  <c r="T11" i="3" s="1"/>
  <c r="Z11" i="3"/>
  <c r="A12" i="3"/>
  <c r="B12" i="3" s="1"/>
  <c r="Z12" i="3" s="1"/>
  <c r="AD11" i="3"/>
  <c r="T196" i="4"/>
  <c r="V194" i="4"/>
  <c r="E6" i="3"/>
  <c r="H6" i="3" s="1"/>
  <c r="K6" i="3" s="1"/>
  <c r="G6" i="3"/>
  <c r="AA12" i="3" l="1"/>
  <c r="AC12" i="3"/>
  <c r="A13" i="3"/>
  <c r="B13" i="3" s="1"/>
  <c r="A14" i="3" s="1"/>
  <c r="B14" i="3" s="1"/>
  <c r="A15" i="3" s="1"/>
  <c r="B15" i="3" s="1"/>
  <c r="P12" i="3"/>
  <c r="Q12" i="3" s="1"/>
  <c r="R12" i="3" s="1"/>
  <c r="S12" i="3" s="1"/>
  <c r="T12" i="3" s="1"/>
  <c r="AD12" i="3"/>
  <c r="U196" i="4"/>
  <c r="W194" i="4"/>
  <c r="F6" i="3"/>
  <c r="I6" i="3"/>
  <c r="J6" i="3"/>
  <c r="M6" i="3"/>
  <c r="N6" i="3" s="1"/>
  <c r="V6" i="3"/>
  <c r="AE6" i="3"/>
  <c r="P13" i="3" l="1"/>
  <c r="Q13" i="3" s="1"/>
  <c r="R13" i="3" s="1"/>
  <c r="S13" i="3" s="1"/>
  <c r="T13" i="3" s="1"/>
  <c r="AD13" i="3"/>
  <c r="AA14" i="3"/>
  <c r="AA13" i="3"/>
  <c r="AC14" i="3"/>
  <c r="Z14" i="3"/>
  <c r="Z13" i="3"/>
  <c r="AD14" i="3"/>
  <c r="P14" i="3"/>
  <c r="Q14" i="3" s="1"/>
  <c r="R14" i="3" s="1"/>
  <c r="AC13" i="3"/>
  <c r="V196" i="4"/>
  <c r="D193" i="4" s="1"/>
  <c r="W196" i="4"/>
  <c r="W6" i="3"/>
  <c r="AA15" i="3"/>
  <c r="P15" i="3"/>
  <c r="Q15" i="3" s="1"/>
  <c r="R15" i="3" s="1"/>
  <c r="AC15" i="3"/>
  <c r="Z15" i="3"/>
  <c r="AD15" i="3"/>
  <c r="A16" i="3"/>
  <c r="B16" i="3" s="1"/>
  <c r="L6" i="3"/>
  <c r="S14" i="3" l="1"/>
  <c r="S15" i="3" s="1"/>
  <c r="F193" i="4"/>
  <c r="M36" i="6"/>
  <c r="N34" i="1"/>
  <c r="AA16" i="3"/>
  <c r="AD16" i="3"/>
  <c r="AC16" i="3"/>
  <c r="P16" i="3"/>
  <c r="Q16" i="3" s="1"/>
  <c r="R16" i="3" s="1"/>
  <c r="Z16" i="3"/>
  <c r="A17" i="3"/>
  <c r="B17" i="3" s="1"/>
  <c r="AH7" i="3"/>
  <c r="AG7" i="3"/>
  <c r="U6" i="3"/>
  <c r="D7" i="3" s="1"/>
  <c r="Y5" i="3"/>
  <c r="T14" i="3" l="1"/>
  <c r="G7" i="3"/>
  <c r="P17" i="3"/>
  <c r="Q17" i="3" s="1"/>
  <c r="R17" i="3" s="1"/>
  <c r="A18" i="3"/>
  <c r="B18" i="3" s="1"/>
  <c r="AC17" i="3"/>
  <c r="Z17" i="3"/>
  <c r="AD17" i="3"/>
  <c r="AA17" i="3"/>
  <c r="T15" i="3"/>
  <c r="S16" i="3"/>
  <c r="E7" i="3"/>
  <c r="H7" i="3" s="1"/>
  <c r="AA18" i="3" l="1"/>
  <c r="P18" i="3"/>
  <c r="Q18" i="3" s="1"/>
  <c r="R18" i="3" s="1"/>
  <c r="AC18" i="3"/>
  <c r="A19" i="3"/>
  <c r="B19" i="3" s="1"/>
  <c r="AD18" i="3"/>
  <c r="Z18" i="3"/>
  <c r="F7" i="3"/>
  <c r="T16" i="3"/>
  <c r="S17" i="3"/>
  <c r="I7" i="3"/>
  <c r="J7" i="3"/>
  <c r="M7" i="3"/>
  <c r="N7" i="3" s="1"/>
  <c r="K7" i="3"/>
  <c r="P19" i="3" l="1"/>
  <c r="Q19" i="3" s="1"/>
  <c r="R19" i="3" s="1"/>
  <c r="A20" i="3"/>
  <c r="B20" i="3" s="1"/>
  <c r="Z19" i="3"/>
  <c r="AD19" i="3"/>
  <c r="AA19" i="3"/>
  <c r="AC19" i="3"/>
  <c r="L7" i="3"/>
  <c r="V7" i="3"/>
  <c r="W7" i="3" s="1"/>
  <c r="AE7" i="3"/>
  <c r="T17" i="3"/>
  <c r="S18" i="3"/>
  <c r="AH8" i="3" l="1"/>
  <c r="U7" i="3"/>
  <c r="D8" i="3" s="1"/>
  <c r="AG8" i="3"/>
  <c r="Y6" i="3"/>
  <c r="P20" i="3"/>
  <c r="Q20" i="3" s="1"/>
  <c r="R20" i="3" s="1"/>
  <c r="A21" i="3"/>
  <c r="B21" i="3" s="1"/>
  <c r="AA20" i="3"/>
  <c r="Z20" i="3"/>
  <c r="AD20" i="3"/>
  <c r="AC20" i="3"/>
  <c r="S19" i="3"/>
  <c r="T18" i="3"/>
  <c r="E8" i="3" l="1"/>
  <c r="H8" i="3" s="1"/>
  <c r="K8" i="3" s="1"/>
  <c r="AD21" i="3"/>
  <c r="P21" i="3"/>
  <c r="Q21" i="3" s="1"/>
  <c r="R21" i="3" s="1"/>
  <c r="AC21" i="3"/>
  <c r="AA21" i="3"/>
  <c r="Z21" i="3"/>
  <c r="A22" i="3"/>
  <c r="B22" i="3" s="1"/>
  <c r="G8" i="3"/>
  <c r="S20" i="3"/>
  <c r="T19" i="3"/>
  <c r="F8" i="3" l="1"/>
  <c r="AC22" i="3"/>
  <c r="A23" i="3"/>
  <c r="B23" i="3" s="1"/>
  <c r="AD22" i="3"/>
  <c r="AA22" i="3"/>
  <c r="Z22" i="3"/>
  <c r="P22" i="3"/>
  <c r="Q22" i="3" s="1"/>
  <c r="R22" i="3" s="1"/>
  <c r="I8" i="3"/>
  <c r="J8" i="3"/>
  <c r="M8" i="3"/>
  <c r="N8" i="3" s="1"/>
  <c r="V8" i="3"/>
  <c r="AE8" i="3"/>
  <c r="T20" i="3"/>
  <c r="S21" i="3"/>
  <c r="W8" i="3" l="1"/>
  <c r="A24" i="3"/>
  <c r="B24" i="3" s="1"/>
  <c r="Z23" i="3"/>
  <c r="AA23" i="3"/>
  <c r="AC23" i="3"/>
  <c r="AD23" i="3"/>
  <c r="P23" i="3"/>
  <c r="Q23" i="3" s="1"/>
  <c r="R23" i="3" s="1"/>
  <c r="T21" i="3"/>
  <c r="S22" i="3"/>
  <c r="L8" i="3"/>
  <c r="U8" i="3" l="1"/>
  <c r="D9" i="3" s="1"/>
  <c r="AH9" i="3"/>
  <c r="AG9" i="3"/>
  <c r="Y7" i="3"/>
  <c r="AA24" i="3"/>
  <c r="Z24" i="3"/>
  <c r="AC24" i="3"/>
  <c r="AD24" i="3"/>
  <c r="A25" i="3"/>
  <c r="B25" i="3" s="1"/>
  <c r="P24" i="3"/>
  <c r="Q24" i="3" s="1"/>
  <c r="R24" i="3" s="1"/>
  <c r="T22" i="3"/>
  <c r="S23" i="3"/>
  <c r="E9" i="3" l="1"/>
  <c r="H9" i="3" s="1"/>
  <c r="K9" i="3" s="1"/>
  <c r="P25" i="3"/>
  <c r="Q25" i="3" s="1"/>
  <c r="R25" i="3" s="1"/>
  <c r="Z25" i="3"/>
  <c r="A26" i="3"/>
  <c r="B26" i="3" s="1"/>
  <c r="AC25" i="3"/>
  <c r="AA25" i="3"/>
  <c r="AD25" i="3"/>
  <c r="S24" i="3"/>
  <c r="T23" i="3"/>
  <c r="G9" i="3"/>
  <c r="F9" i="3" l="1"/>
  <c r="AD26" i="3"/>
  <c r="P26" i="3"/>
  <c r="Q26" i="3" s="1"/>
  <c r="R26" i="3" s="1"/>
  <c r="A27" i="3"/>
  <c r="B27" i="3" s="1"/>
  <c r="AA26" i="3"/>
  <c r="Z26" i="3"/>
  <c r="AC26" i="3"/>
  <c r="S25" i="3"/>
  <c r="T24" i="3"/>
  <c r="V9" i="3"/>
  <c r="AE9" i="3"/>
  <c r="I9" i="3"/>
  <c r="J9" i="3"/>
  <c r="M9" i="3"/>
  <c r="N9" i="3" s="1"/>
  <c r="W9" i="3" l="1"/>
  <c r="P27" i="3"/>
  <c r="Q27" i="3" s="1"/>
  <c r="R27" i="3" s="1"/>
  <c r="Z27" i="3"/>
  <c r="AA27" i="3"/>
  <c r="AD27" i="3"/>
  <c r="A28" i="3"/>
  <c r="B28" i="3" s="1"/>
  <c r="AC27" i="3"/>
  <c r="S26" i="3"/>
  <c r="T25" i="3"/>
  <c r="L9" i="3"/>
  <c r="Z28" i="3" l="1"/>
  <c r="P28" i="3"/>
  <c r="Q28" i="3" s="1"/>
  <c r="R28" i="3" s="1"/>
  <c r="A29" i="3"/>
  <c r="B29" i="3" s="1"/>
  <c r="AA28" i="3"/>
  <c r="AC28" i="3"/>
  <c r="AD28" i="3"/>
  <c r="AH10" i="3"/>
  <c r="U9" i="3"/>
  <c r="E10" i="3" s="1"/>
  <c r="H10" i="3" s="1"/>
  <c r="AG10" i="3"/>
  <c r="Y8" i="3"/>
  <c r="T26" i="3"/>
  <c r="S27" i="3"/>
  <c r="K10" i="3" l="1"/>
  <c r="S28" i="3"/>
  <c r="T27" i="3"/>
  <c r="AC29" i="3"/>
  <c r="P29" i="3"/>
  <c r="Q29" i="3" s="1"/>
  <c r="R29" i="3" s="1"/>
  <c r="A30" i="3"/>
  <c r="B30" i="3" s="1"/>
  <c r="AD29" i="3"/>
  <c r="Z29" i="3"/>
  <c r="AA29" i="3"/>
  <c r="D10" i="3"/>
  <c r="Z30" i="3" l="1"/>
  <c r="P30" i="3"/>
  <c r="Q30" i="3" s="1"/>
  <c r="R30" i="3" s="1"/>
  <c r="AC30" i="3"/>
  <c r="AA30" i="3"/>
  <c r="AD30" i="3"/>
  <c r="A31" i="3"/>
  <c r="B31" i="3" s="1"/>
  <c r="F10" i="3"/>
  <c r="G10" i="3"/>
  <c r="V10" i="3"/>
  <c r="AE10" i="3"/>
  <c r="T28" i="3"/>
  <c r="S29" i="3"/>
  <c r="I10" i="3" l="1"/>
  <c r="W10" i="3" s="1"/>
  <c r="J10" i="3"/>
  <c r="M10" i="3"/>
  <c r="N10" i="3" s="1"/>
  <c r="AC31" i="3"/>
  <c r="A32" i="3"/>
  <c r="B32" i="3" s="1"/>
  <c r="Z31" i="3"/>
  <c r="P31" i="3"/>
  <c r="Q31" i="3" s="1"/>
  <c r="R31" i="3" s="1"/>
  <c r="AD31" i="3"/>
  <c r="AA31" i="3"/>
  <c r="S30" i="3"/>
  <c r="T29" i="3"/>
  <c r="A33" i="3" l="1"/>
  <c r="B33" i="3" s="1"/>
  <c r="Z32" i="3"/>
  <c r="P32" i="3"/>
  <c r="Q32" i="3" s="1"/>
  <c r="R32" i="3" s="1"/>
  <c r="AD32" i="3"/>
  <c r="AC32" i="3"/>
  <c r="AA32" i="3"/>
  <c r="L10" i="3"/>
  <c r="T30" i="3"/>
  <c r="S31" i="3"/>
  <c r="P33" i="3" l="1"/>
  <c r="Q33" i="3" s="1"/>
  <c r="R33" i="3" s="1"/>
  <c r="AC33" i="3"/>
  <c r="A34" i="3"/>
  <c r="B34" i="3" s="1"/>
  <c r="AA33" i="3"/>
  <c r="Z33" i="3"/>
  <c r="AD33" i="3"/>
  <c r="AG11" i="3"/>
  <c r="AH11" i="3"/>
  <c r="U10" i="3"/>
  <c r="E11" i="3" s="1"/>
  <c r="H11" i="3" s="1"/>
  <c r="Y9" i="3"/>
  <c r="T31" i="3"/>
  <c r="S32" i="3"/>
  <c r="K11" i="3" l="1"/>
  <c r="T32" i="3"/>
  <c r="S33" i="3"/>
  <c r="Z34" i="3"/>
  <c r="P34" i="3"/>
  <c r="Q34" i="3" s="1"/>
  <c r="R34" i="3" s="1"/>
  <c r="AC34" i="3"/>
  <c r="A35" i="3"/>
  <c r="B35" i="3" s="1"/>
  <c r="AA34" i="3"/>
  <c r="D11" i="3"/>
  <c r="S34" i="3" l="1"/>
  <c r="T33" i="3"/>
  <c r="V11" i="3"/>
  <c r="AE11" i="3"/>
  <c r="A36" i="3"/>
  <c r="B36" i="3" s="1"/>
  <c r="Z35" i="3"/>
  <c r="AD35" i="3"/>
  <c r="AA35" i="3"/>
  <c r="AC35" i="3"/>
  <c r="P35" i="3"/>
  <c r="Q35" i="3" s="1"/>
  <c r="R35" i="3" s="1"/>
  <c r="F11" i="3"/>
  <c r="G11" i="3"/>
  <c r="S35" i="3" l="1"/>
  <c r="T34" i="3"/>
  <c r="AD36" i="3"/>
  <c r="AA36" i="3"/>
  <c r="P36" i="3"/>
  <c r="Q36" i="3" s="1"/>
  <c r="R36" i="3" s="1"/>
  <c r="Z36" i="3"/>
  <c r="A37" i="3"/>
  <c r="B37" i="3" s="1"/>
  <c r="AC36" i="3"/>
  <c r="I11" i="3"/>
  <c r="W11" i="3" s="1"/>
  <c r="J11" i="3"/>
  <c r="M11" i="3"/>
  <c r="N11" i="3" s="1"/>
  <c r="AD37" i="3" l="1"/>
  <c r="Z37" i="3"/>
  <c r="AA37" i="3"/>
  <c r="AC37" i="3"/>
  <c r="P37" i="3"/>
  <c r="Q37" i="3" s="1"/>
  <c r="R37" i="3" s="1"/>
  <c r="A38" i="3"/>
  <c r="B38" i="3" s="1"/>
  <c r="L11" i="3"/>
  <c r="T35" i="3"/>
  <c r="S36" i="3"/>
  <c r="P38" i="3" l="1"/>
  <c r="Q38" i="3" s="1"/>
  <c r="R38" i="3" s="1"/>
  <c r="A39" i="3"/>
  <c r="B39" i="3" s="1"/>
  <c r="AC38" i="3"/>
  <c r="AA38" i="3"/>
  <c r="AD38" i="3"/>
  <c r="Z38" i="3"/>
  <c r="AH12" i="3"/>
  <c r="U11" i="3"/>
  <c r="E12" i="3" s="1"/>
  <c r="H12" i="3" s="1"/>
  <c r="AG12" i="3"/>
  <c r="Y10" i="3"/>
  <c r="T36" i="3"/>
  <c r="S37" i="3"/>
  <c r="D12" i="3" l="1"/>
  <c r="G12" i="3" s="1"/>
  <c r="S38" i="3"/>
  <c r="T37" i="3"/>
  <c r="K12" i="3"/>
  <c r="AC39" i="3"/>
  <c r="P39" i="3"/>
  <c r="Q39" i="3" s="1"/>
  <c r="R39" i="3" s="1"/>
  <c r="AD39" i="3"/>
  <c r="Z39" i="3"/>
  <c r="A40" i="3"/>
  <c r="B40" i="3" s="1"/>
  <c r="AA39" i="3"/>
  <c r="F12" i="3" l="1"/>
  <c r="P40" i="3"/>
  <c r="Q40" i="3" s="1"/>
  <c r="R40" i="3" s="1"/>
  <c r="AA40" i="3"/>
  <c r="A41" i="3"/>
  <c r="B41" i="3" s="1"/>
  <c r="AC40" i="3"/>
  <c r="Z40" i="3"/>
  <c r="AD40" i="3"/>
  <c r="V12" i="3"/>
  <c r="AE12" i="3"/>
  <c r="S39" i="3"/>
  <c r="T38" i="3"/>
  <c r="I12" i="3"/>
  <c r="J12" i="3"/>
  <c r="M12" i="3"/>
  <c r="N12" i="3" s="1"/>
  <c r="W12" i="3" l="1"/>
  <c r="P41" i="3"/>
  <c r="Q41" i="3" s="1"/>
  <c r="R41" i="3" s="1"/>
  <c r="AC41" i="3"/>
  <c r="A42" i="3"/>
  <c r="B42" i="3" s="1"/>
  <c r="AA41" i="3"/>
  <c r="Z41" i="3"/>
  <c r="AD41" i="3"/>
  <c r="L12" i="3"/>
  <c r="T39" i="3"/>
  <c r="S40" i="3"/>
  <c r="AG13" i="3" l="1"/>
  <c r="U12" i="3"/>
  <c r="E13" i="3" s="1"/>
  <c r="H13" i="3" s="1"/>
  <c r="AH13" i="3"/>
  <c r="Y11" i="3"/>
  <c r="P42" i="3"/>
  <c r="Q42" i="3" s="1"/>
  <c r="R42" i="3" s="1"/>
  <c r="Z42" i="3"/>
  <c r="AA42" i="3"/>
  <c r="A43" i="3"/>
  <c r="B43" i="3" s="1"/>
  <c r="AD42" i="3"/>
  <c r="AC42" i="3"/>
  <c r="S41" i="3"/>
  <c r="T40" i="3"/>
  <c r="D13" i="3" l="1"/>
  <c r="F13" i="3" s="1"/>
  <c r="K13" i="3"/>
  <c r="AC43" i="3"/>
  <c r="P43" i="3"/>
  <c r="Q43" i="3" s="1"/>
  <c r="R43" i="3" s="1"/>
  <c r="AD43" i="3"/>
  <c r="Z43" i="3"/>
  <c r="A44" i="3"/>
  <c r="B44" i="3" s="1"/>
  <c r="AA43" i="3"/>
  <c r="T41" i="3"/>
  <c r="S42" i="3"/>
  <c r="G13" i="3" l="1"/>
  <c r="I13" i="3" s="1"/>
  <c r="AA44" i="3"/>
  <c r="P44" i="3"/>
  <c r="Q44" i="3" s="1"/>
  <c r="R44" i="3" s="1"/>
  <c r="AD44" i="3"/>
  <c r="A45" i="3"/>
  <c r="B45" i="3" s="1"/>
  <c r="Z44" i="3"/>
  <c r="AC44" i="3"/>
  <c r="T42" i="3"/>
  <c r="S43" i="3"/>
  <c r="V13" i="3"/>
  <c r="AE13" i="3"/>
  <c r="J13" i="3" l="1"/>
  <c r="L13" i="3" s="1"/>
  <c r="M13" i="3"/>
  <c r="N13" i="3" s="1"/>
  <c r="P45" i="3"/>
  <c r="Q45" i="3" s="1"/>
  <c r="R45" i="3" s="1"/>
  <c r="A46" i="3"/>
  <c r="B46" i="3" s="1"/>
  <c r="AA45" i="3"/>
  <c r="AD45" i="3"/>
  <c r="Z45" i="3"/>
  <c r="AC45" i="3"/>
  <c r="S44" i="3"/>
  <c r="T43" i="3"/>
  <c r="W13" i="3"/>
  <c r="P46" i="3" l="1"/>
  <c r="Q46" i="3" s="1"/>
  <c r="R46" i="3" s="1"/>
  <c r="AA46" i="3"/>
  <c r="AD46" i="3"/>
  <c r="A47" i="3"/>
  <c r="B47" i="3" s="1"/>
  <c r="Z46" i="3"/>
  <c r="AC46" i="3"/>
  <c r="S45" i="3"/>
  <c r="T44" i="3"/>
  <c r="AH14" i="3"/>
  <c r="AG14" i="3"/>
  <c r="U13" i="3"/>
  <c r="D14" i="3" s="1"/>
  <c r="Y12" i="3"/>
  <c r="E14" i="3" l="1"/>
  <c r="H14" i="3" s="1"/>
  <c r="K14" i="3" s="1"/>
  <c r="AD47" i="3"/>
  <c r="AA47" i="3"/>
  <c r="P47" i="3"/>
  <c r="Q47" i="3" s="1"/>
  <c r="R47" i="3" s="1"/>
  <c r="A48" i="3"/>
  <c r="B48" i="3" s="1"/>
  <c r="Z47" i="3"/>
  <c r="AC47" i="3"/>
  <c r="S46" i="3"/>
  <c r="T45" i="3"/>
  <c r="G14" i="3"/>
  <c r="F14" i="3" l="1"/>
  <c r="AC48" i="3"/>
  <c r="Z48" i="3"/>
  <c r="AA48" i="3"/>
  <c r="A49" i="3"/>
  <c r="B49" i="3" s="1"/>
  <c r="AD48" i="3"/>
  <c r="P48" i="3"/>
  <c r="Q48" i="3" s="1"/>
  <c r="R48" i="3" s="1"/>
  <c r="V14" i="3"/>
  <c r="AE14" i="3"/>
  <c r="I14" i="3"/>
  <c r="J14" i="3"/>
  <c r="M14" i="3"/>
  <c r="N14" i="3" s="1"/>
  <c r="S47" i="3"/>
  <c r="T46" i="3"/>
  <c r="T47" i="3" l="1"/>
  <c r="S48" i="3"/>
  <c r="A50" i="3"/>
  <c r="B50" i="3" s="1"/>
  <c r="P49" i="3"/>
  <c r="Q49" i="3" s="1"/>
  <c r="R49" i="3" s="1"/>
  <c r="AC49" i="3"/>
  <c r="AD49" i="3"/>
  <c r="AA49" i="3"/>
  <c r="Z49" i="3"/>
  <c r="W14" i="3"/>
  <c r="L14" i="3"/>
  <c r="U14" i="3" l="1"/>
  <c r="E15" i="3" s="1"/>
  <c r="H15" i="3" s="1"/>
  <c r="AG15" i="3"/>
  <c r="AH15" i="3"/>
  <c r="Y13" i="3"/>
  <c r="Z50" i="3"/>
  <c r="AA50" i="3"/>
  <c r="P50" i="3"/>
  <c r="Q50" i="3" s="1"/>
  <c r="R50" i="3" s="1"/>
  <c r="A51" i="3"/>
  <c r="B51" i="3" s="1"/>
  <c r="AD50" i="3"/>
  <c r="AC50" i="3"/>
  <c r="T48" i="3"/>
  <c r="S49" i="3"/>
  <c r="D15" i="3" l="1"/>
  <c r="F15" i="3" s="1"/>
  <c r="AD51" i="3"/>
  <c r="A52" i="3"/>
  <c r="B52" i="3" s="1"/>
  <c r="P51" i="3"/>
  <c r="Q51" i="3" s="1"/>
  <c r="R51" i="3" s="1"/>
  <c r="AA51" i="3"/>
  <c r="Z51" i="3"/>
  <c r="AC51" i="3"/>
  <c r="K15" i="3"/>
  <c r="S50" i="3"/>
  <c r="T49" i="3"/>
  <c r="G15" i="3" l="1"/>
  <c r="I15" i="3" s="1"/>
  <c r="A53" i="3"/>
  <c r="B53" i="3" s="1"/>
  <c r="AC52" i="3"/>
  <c r="P52" i="3"/>
  <c r="Q52" i="3" s="1"/>
  <c r="R52" i="3" s="1"/>
  <c r="AA52" i="3"/>
  <c r="AD52" i="3"/>
  <c r="Z52" i="3"/>
  <c r="T50" i="3"/>
  <c r="S51" i="3"/>
  <c r="V15" i="3"/>
  <c r="AE15" i="3"/>
  <c r="J15" i="3" l="1"/>
  <c r="L15" i="3" s="1"/>
  <c r="M15" i="3"/>
  <c r="N15" i="3" s="1"/>
  <c r="A54" i="3"/>
  <c r="B54" i="3" s="1"/>
  <c r="AD53" i="3"/>
  <c r="P53" i="3"/>
  <c r="Q53" i="3" s="1"/>
  <c r="R53" i="3" s="1"/>
  <c r="AA53" i="3"/>
  <c r="AC53" i="3"/>
  <c r="Z53" i="3"/>
  <c r="T51" i="3"/>
  <c r="S52" i="3"/>
  <c r="W15" i="3"/>
  <c r="AC54" i="3" l="1"/>
  <c r="P54" i="3"/>
  <c r="Q54" i="3" s="1"/>
  <c r="R54" i="3" s="1"/>
  <c r="A55" i="3"/>
  <c r="B55" i="3" s="1"/>
  <c r="AA54" i="3"/>
  <c r="Z54" i="3"/>
  <c r="AD54" i="3"/>
  <c r="T52" i="3"/>
  <c r="S53" i="3"/>
  <c r="U15" i="3"/>
  <c r="D16" i="3" s="1"/>
  <c r="AG16" i="3"/>
  <c r="AH16" i="3"/>
  <c r="Y14" i="3"/>
  <c r="E16" i="3" l="1"/>
  <c r="H16" i="3" s="1"/>
  <c r="K16" i="3" s="1"/>
  <c r="G16" i="3"/>
  <c r="S54" i="3"/>
  <c r="T53" i="3"/>
  <c r="P55" i="3"/>
  <c r="Q55" i="3" s="1"/>
  <c r="R55" i="3" s="1"/>
  <c r="A56" i="3"/>
  <c r="B56" i="3" s="1"/>
  <c r="AC55" i="3"/>
  <c r="AA55" i="3"/>
  <c r="Z55" i="3"/>
  <c r="AD55" i="3"/>
  <c r="F16" i="3" l="1"/>
  <c r="P56" i="3"/>
  <c r="Q56" i="3" s="1"/>
  <c r="R56" i="3" s="1"/>
  <c r="AA56" i="3"/>
  <c r="A57" i="3"/>
  <c r="B57" i="3" s="1"/>
  <c r="AD56" i="3"/>
  <c r="Z56" i="3"/>
  <c r="AC56" i="3"/>
  <c r="I16" i="3"/>
  <c r="J16" i="3"/>
  <c r="M16" i="3"/>
  <c r="N16" i="3" s="1"/>
  <c r="S55" i="3"/>
  <c r="T54" i="3"/>
  <c r="V16" i="3"/>
  <c r="AE16" i="3"/>
  <c r="S56" i="3" l="1"/>
  <c r="T55" i="3"/>
  <c r="AD57" i="3"/>
  <c r="AA57" i="3"/>
  <c r="A58" i="3"/>
  <c r="B58" i="3" s="1"/>
  <c r="AC57" i="3"/>
  <c r="P57" i="3"/>
  <c r="Q57" i="3" s="1"/>
  <c r="R57" i="3" s="1"/>
  <c r="Z57" i="3"/>
  <c r="L16" i="3"/>
  <c r="W16" i="3"/>
  <c r="Z58" i="3" l="1"/>
  <c r="AD58" i="3"/>
  <c r="AA58" i="3"/>
  <c r="P58" i="3"/>
  <c r="Q58" i="3" s="1"/>
  <c r="R58" i="3" s="1"/>
  <c r="A59" i="3"/>
  <c r="B59" i="3" s="1"/>
  <c r="AC58" i="3"/>
  <c r="S57" i="3"/>
  <c r="T56" i="3"/>
  <c r="U16" i="3"/>
  <c r="D17" i="3" s="1"/>
  <c r="AG17" i="3"/>
  <c r="AH17" i="3"/>
  <c r="Y15" i="3"/>
  <c r="G17" i="3" l="1"/>
  <c r="P59" i="3"/>
  <c r="Q59" i="3" s="1"/>
  <c r="R59" i="3" s="1"/>
  <c r="A60" i="3"/>
  <c r="B60" i="3" s="1"/>
  <c r="AC59" i="3"/>
  <c r="AD59" i="3"/>
  <c r="Z59" i="3"/>
  <c r="AA59" i="3"/>
  <c r="E17" i="3"/>
  <c r="H17" i="3" s="1"/>
  <c r="S58" i="3"/>
  <c r="T57" i="3"/>
  <c r="AC60" i="3" l="1"/>
  <c r="AD60" i="3"/>
  <c r="Z60" i="3"/>
  <c r="P60" i="3"/>
  <c r="Q60" i="3" s="1"/>
  <c r="R60" i="3" s="1"/>
  <c r="A61" i="3"/>
  <c r="B61" i="3" s="1"/>
  <c r="AA60" i="3"/>
  <c r="F17" i="3"/>
  <c r="I17" i="3"/>
  <c r="J17" i="3"/>
  <c r="M17" i="3"/>
  <c r="N17" i="3" s="1"/>
  <c r="K17" i="3"/>
  <c r="S59" i="3"/>
  <c r="T58" i="3"/>
  <c r="A62" i="3" l="1"/>
  <c r="B62" i="3" s="1"/>
  <c r="Z61" i="3"/>
  <c r="AD61" i="3"/>
  <c r="AC61" i="3"/>
  <c r="P61" i="3"/>
  <c r="Q61" i="3" s="1"/>
  <c r="R61" i="3" s="1"/>
  <c r="AA61" i="3"/>
  <c r="T59" i="3"/>
  <c r="S60" i="3"/>
  <c r="V17" i="3"/>
  <c r="W17" i="3" s="1"/>
  <c r="AE17" i="3"/>
  <c r="L17" i="3"/>
  <c r="AD62" i="3" l="1"/>
  <c r="P62" i="3"/>
  <c r="Q62" i="3" s="1"/>
  <c r="R62" i="3" s="1"/>
  <c r="Z62" i="3"/>
  <c r="AA62" i="3"/>
  <c r="AC62" i="3"/>
  <c r="A63" i="3"/>
  <c r="B63" i="3" s="1"/>
  <c r="S61" i="3"/>
  <c r="T60" i="3"/>
  <c r="U17" i="3"/>
  <c r="E18" i="3" s="1"/>
  <c r="H18" i="3" s="1"/>
  <c r="AG18" i="3"/>
  <c r="AH18" i="3"/>
  <c r="Y16" i="3"/>
  <c r="D18" i="3" l="1"/>
  <c r="G18" i="3" s="1"/>
  <c r="K18" i="3"/>
  <c r="AC63" i="3"/>
  <c r="AA63" i="3"/>
  <c r="A64" i="3"/>
  <c r="B64" i="3" s="1"/>
  <c r="AD63" i="3"/>
  <c r="P63" i="3"/>
  <c r="Q63" i="3" s="1"/>
  <c r="R63" i="3" s="1"/>
  <c r="Z63" i="3"/>
  <c r="S62" i="3"/>
  <c r="T61" i="3"/>
  <c r="F18" i="3" l="1"/>
  <c r="I18" i="3"/>
  <c r="J18" i="3"/>
  <c r="M18" i="3"/>
  <c r="N18" i="3" s="1"/>
  <c r="S63" i="3"/>
  <c r="T62" i="3"/>
  <c r="A65" i="3"/>
  <c r="B65" i="3" s="1"/>
  <c r="Z64" i="3"/>
  <c r="AA64" i="3"/>
  <c r="AC64" i="3"/>
  <c r="AD64" i="3"/>
  <c r="P64" i="3"/>
  <c r="Q64" i="3" s="1"/>
  <c r="R64" i="3" s="1"/>
  <c r="V18" i="3"/>
  <c r="AE18" i="3"/>
  <c r="Z65" i="3" l="1"/>
  <c r="AA65" i="3"/>
  <c r="A66" i="3"/>
  <c r="B66" i="3" s="1"/>
  <c r="AC65" i="3"/>
  <c r="P65" i="3"/>
  <c r="Q65" i="3" s="1"/>
  <c r="R65" i="3" s="1"/>
  <c r="AD65" i="3"/>
  <c r="L18" i="3"/>
  <c r="W18" i="3"/>
  <c r="S64" i="3"/>
  <c r="T63" i="3"/>
  <c r="A67" i="3" l="1"/>
  <c r="B67" i="3" s="1"/>
  <c r="P66" i="3"/>
  <c r="Q66" i="3" s="1"/>
  <c r="R66" i="3" s="1"/>
  <c r="AC66" i="3"/>
  <c r="Z66" i="3"/>
  <c r="AD66" i="3"/>
  <c r="AA66" i="3"/>
  <c r="U18" i="3"/>
  <c r="D19" i="3" s="1"/>
  <c r="AH19" i="3"/>
  <c r="AG19" i="3"/>
  <c r="Y17" i="3"/>
  <c r="S65" i="3"/>
  <c r="T64" i="3"/>
  <c r="G19" i="3" l="1"/>
  <c r="E19" i="3"/>
  <c r="H19" i="3" s="1"/>
  <c r="AA67" i="3"/>
  <c r="Z67" i="3"/>
  <c r="AD67" i="3"/>
  <c r="AC67" i="3"/>
  <c r="P67" i="3"/>
  <c r="Q67" i="3" s="1"/>
  <c r="R67" i="3" s="1"/>
  <c r="A68" i="3"/>
  <c r="B68" i="3" s="1"/>
  <c r="S66" i="3"/>
  <c r="T65" i="3"/>
  <c r="F19" i="3" l="1"/>
  <c r="AD68" i="3"/>
  <c r="AC68" i="3"/>
  <c r="Z68" i="3"/>
  <c r="AA68" i="3"/>
  <c r="A69" i="3"/>
  <c r="B69" i="3" s="1"/>
  <c r="P68" i="3"/>
  <c r="Q68" i="3" s="1"/>
  <c r="R68" i="3" s="1"/>
  <c r="I19" i="3"/>
  <c r="J19" i="3"/>
  <c r="M19" i="3"/>
  <c r="N19" i="3" s="1"/>
  <c r="K19" i="3"/>
  <c r="S67" i="3"/>
  <c r="T66" i="3"/>
  <c r="Z69" i="3" l="1"/>
  <c r="AC69" i="3"/>
  <c r="P69" i="3"/>
  <c r="Q69" i="3" s="1"/>
  <c r="R69" i="3" s="1"/>
  <c r="AA69" i="3"/>
  <c r="AD69" i="3"/>
  <c r="A70" i="3"/>
  <c r="B70" i="3" s="1"/>
  <c r="V19" i="3"/>
  <c r="W19" i="3" s="1"/>
  <c r="AE19" i="3"/>
  <c r="L19" i="3"/>
  <c r="T67" i="3"/>
  <c r="S68" i="3"/>
  <c r="AH20" i="3" l="1"/>
  <c r="U19" i="3"/>
  <c r="E20" i="3" s="1"/>
  <c r="H20" i="3" s="1"/>
  <c r="AG20" i="3"/>
  <c r="Y18" i="3"/>
  <c r="A71" i="3"/>
  <c r="B71" i="3" s="1"/>
  <c r="AC70" i="3"/>
  <c r="AA70" i="3"/>
  <c r="AD70" i="3"/>
  <c r="P70" i="3"/>
  <c r="Q70" i="3" s="1"/>
  <c r="R70" i="3" s="1"/>
  <c r="Z70" i="3"/>
  <c r="S69" i="3"/>
  <c r="T68" i="3"/>
  <c r="D20" i="3" l="1"/>
  <c r="G20" i="3" s="1"/>
  <c r="K20" i="3"/>
  <c r="AA71" i="3"/>
  <c r="A72" i="3"/>
  <c r="B72" i="3" s="1"/>
  <c r="AC71" i="3"/>
  <c r="Z71" i="3"/>
  <c r="AD71" i="3"/>
  <c r="P71" i="3"/>
  <c r="Q71" i="3" s="1"/>
  <c r="R71" i="3" s="1"/>
  <c r="T69" i="3"/>
  <c r="S70" i="3"/>
  <c r="F20" i="3" l="1"/>
  <c r="A73" i="3"/>
  <c r="B73" i="3" s="1"/>
  <c r="Z72" i="3"/>
  <c r="P72" i="3"/>
  <c r="Q72" i="3" s="1"/>
  <c r="R72" i="3" s="1"/>
  <c r="AD72" i="3"/>
  <c r="AA72" i="3"/>
  <c r="AC72" i="3"/>
  <c r="T70" i="3"/>
  <c r="S71" i="3"/>
  <c r="V20" i="3"/>
  <c r="AE20" i="3"/>
  <c r="I20" i="3"/>
  <c r="J20" i="3"/>
  <c r="M20" i="3"/>
  <c r="N20" i="3" s="1"/>
  <c r="AC73" i="3" l="1"/>
  <c r="A74" i="3"/>
  <c r="B74" i="3" s="1"/>
  <c r="Z73" i="3"/>
  <c r="AA73" i="3"/>
  <c r="AD73" i="3"/>
  <c r="P73" i="3"/>
  <c r="Q73" i="3" s="1"/>
  <c r="R73" i="3" s="1"/>
  <c r="L20" i="3"/>
  <c r="T71" i="3"/>
  <c r="S72" i="3"/>
  <c r="W20" i="3"/>
  <c r="P74" i="3" l="1"/>
  <c r="Q74" i="3" s="1"/>
  <c r="R74" i="3" s="1"/>
  <c r="AC74" i="3"/>
  <c r="A75" i="3"/>
  <c r="B75" i="3" s="1"/>
  <c r="AA74" i="3"/>
  <c r="Z74" i="3"/>
  <c r="AG21" i="3"/>
  <c r="U20" i="3"/>
  <c r="E21" i="3" s="1"/>
  <c r="H21" i="3" s="1"/>
  <c r="AH21" i="3"/>
  <c r="Y19" i="3"/>
  <c r="S73" i="3"/>
  <c r="T72" i="3"/>
  <c r="D21" i="3" l="1"/>
  <c r="G21" i="3" s="1"/>
  <c r="K21" i="3"/>
  <c r="P75" i="3"/>
  <c r="Q75" i="3" s="1"/>
  <c r="R75" i="3" s="1"/>
  <c r="Z75" i="3"/>
  <c r="A76" i="3"/>
  <c r="B76" i="3" s="1"/>
  <c r="AA75" i="3"/>
  <c r="AC75" i="3"/>
  <c r="AD75" i="3"/>
  <c r="T73" i="3"/>
  <c r="S74" i="3"/>
  <c r="F21" i="3" l="1"/>
  <c r="AC76" i="3"/>
  <c r="Z76" i="3"/>
  <c r="AD76" i="3"/>
  <c r="AA76" i="3"/>
  <c r="A77" i="3"/>
  <c r="B77" i="3" s="1"/>
  <c r="P76" i="3"/>
  <c r="Q76" i="3" s="1"/>
  <c r="R76" i="3" s="1"/>
  <c r="I21" i="3"/>
  <c r="J21" i="3"/>
  <c r="M21" i="3"/>
  <c r="N21" i="3" s="1"/>
  <c r="S75" i="3"/>
  <c r="T74" i="3"/>
  <c r="V21" i="3"/>
  <c r="AE21" i="3"/>
  <c r="W21" i="3" l="1"/>
  <c r="S76" i="3"/>
  <c r="T75" i="3"/>
  <c r="A78" i="3"/>
  <c r="B78" i="3" s="1"/>
  <c r="AA77" i="3"/>
  <c r="Z77" i="3"/>
  <c r="P77" i="3"/>
  <c r="Q77" i="3" s="1"/>
  <c r="R77" i="3" s="1"/>
  <c r="AD77" i="3"/>
  <c r="AC77" i="3"/>
  <c r="L21" i="3"/>
  <c r="S77" i="3" l="1"/>
  <c r="T76" i="3"/>
  <c r="AG22" i="3"/>
  <c r="U21" i="3"/>
  <c r="D22" i="3" s="1"/>
  <c r="AH22" i="3"/>
  <c r="Y20" i="3"/>
  <c r="A79" i="3"/>
  <c r="B79" i="3" s="1"/>
  <c r="AD78" i="3"/>
  <c r="P78" i="3"/>
  <c r="Q78" i="3" s="1"/>
  <c r="R78" i="3" s="1"/>
  <c r="AC78" i="3"/>
  <c r="AA78" i="3"/>
  <c r="Z78" i="3"/>
  <c r="G22" i="3" l="1"/>
  <c r="T77" i="3"/>
  <c r="S78" i="3"/>
  <c r="E22" i="3"/>
  <c r="H22" i="3" s="1"/>
  <c r="P79" i="3"/>
  <c r="Q79" i="3" s="1"/>
  <c r="R79" i="3" s="1"/>
  <c r="A80" i="3"/>
  <c r="B80" i="3" s="1"/>
  <c r="Z79" i="3"/>
  <c r="AC79" i="3"/>
  <c r="AA79" i="3"/>
  <c r="AD79" i="3"/>
  <c r="AA80" i="3" l="1"/>
  <c r="A81" i="3"/>
  <c r="B81" i="3" s="1"/>
  <c r="AD80" i="3"/>
  <c r="AC80" i="3"/>
  <c r="P80" i="3"/>
  <c r="Q80" i="3" s="1"/>
  <c r="R80" i="3" s="1"/>
  <c r="Z80" i="3"/>
  <c r="I22" i="3"/>
  <c r="J22" i="3"/>
  <c r="M22" i="3"/>
  <c r="N22" i="3" s="1"/>
  <c r="K22" i="3"/>
  <c r="T78" i="3"/>
  <c r="S79" i="3"/>
  <c r="F22" i="3"/>
  <c r="L22" i="3" l="1"/>
  <c r="S80" i="3"/>
  <c r="T79" i="3"/>
  <c r="Z81" i="3"/>
  <c r="AC81" i="3"/>
  <c r="A82" i="3"/>
  <c r="B82" i="3" s="1"/>
  <c r="AA81" i="3"/>
  <c r="AD81" i="3"/>
  <c r="P81" i="3"/>
  <c r="Q81" i="3" s="1"/>
  <c r="R81" i="3" s="1"/>
  <c r="V22" i="3"/>
  <c r="W22" i="3" s="1"/>
  <c r="AE22" i="3"/>
  <c r="U22" i="3" l="1"/>
  <c r="E23" i="3" s="1"/>
  <c r="H23" i="3" s="1"/>
  <c r="AH23" i="3"/>
  <c r="AG23" i="3"/>
  <c r="Y21" i="3"/>
  <c r="A83" i="3"/>
  <c r="B83" i="3" s="1"/>
  <c r="P82" i="3"/>
  <c r="Q82" i="3" s="1"/>
  <c r="R82" i="3" s="1"/>
  <c r="AC82" i="3"/>
  <c r="AA82" i="3"/>
  <c r="Z82" i="3"/>
  <c r="AD82" i="3"/>
  <c r="T80" i="3"/>
  <c r="S81" i="3"/>
  <c r="AA83" i="3" l="1"/>
  <c r="AC83" i="3"/>
  <c r="P83" i="3"/>
  <c r="Q83" i="3" s="1"/>
  <c r="R83" i="3" s="1"/>
  <c r="Z83" i="3"/>
  <c r="AD83" i="3"/>
  <c r="A84" i="3"/>
  <c r="B84" i="3" s="1"/>
  <c r="K23" i="3"/>
  <c r="D23" i="3"/>
  <c r="T81" i="3"/>
  <c r="S82" i="3"/>
  <c r="AA84" i="3" l="1"/>
  <c r="Z84" i="3"/>
  <c r="A85" i="3"/>
  <c r="B85" i="3" s="1"/>
  <c r="P84" i="3"/>
  <c r="Q84" i="3" s="1"/>
  <c r="R84" i="3" s="1"/>
  <c r="AD84" i="3"/>
  <c r="AC84" i="3"/>
  <c r="T82" i="3"/>
  <c r="S83" i="3"/>
  <c r="V23" i="3"/>
  <c r="AE23" i="3"/>
  <c r="F23" i="3"/>
  <c r="G23" i="3"/>
  <c r="T83" i="3" l="1"/>
  <c r="S84" i="3"/>
  <c r="A86" i="3"/>
  <c r="B86" i="3" s="1"/>
  <c r="P85" i="3"/>
  <c r="Q85" i="3" s="1"/>
  <c r="R85" i="3" s="1"/>
  <c r="AA85" i="3"/>
  <c r="AC85" i="3"/>
  <c r="Z85" i="3"/>
  <c r="AD85" i="3"/>
  <c r="I23" i="3"/>
  <c r="W23" i="3" s="1"/>
  <c r="J23" i="3"/>
  <c r="M23" i="3"/>
  <c r="N23" i="3" s="1"/>
  <c r="AC86" i="3" l="1"/>
  <c r="Z86" i="3"/>
  <c r="P86" i="3"/>
  <c r="Q86" i="3" s="1"/>
  <c r="R86" i="3" s="1"/>
  <c r="AA86" i="3"/>
  <c r="A87" i="3"/>
  <c r="B87" i="3" s="1"/>
  <c r="AD86" i="3"/>
  <c r="S85" i="3"/>
  <c r="T84" i="3"/>
  <c r="L23" i="3"/>
  <c r="P87" i="3" l="1"/>
  <c r="Q87" i="3" s="1"/>
  <c r="R87" i="3" s="1"/>
  <c r="Z87" i="3"/>
  <c r="A88" i="3"/>
  <c r="B88" i="3" s="1"/>
  <c r="AD87" i="3"/>
  <c r="AC87" i="3"/>
  <c r="AA87" i="3"/>
  <c r="AG24" i="3"/>
  <c r="AH24" i="3"/>
  <c r="U23" i="3"/>
  <c r="E24" i="3" s="1"/>
  <c r="H24" i="3" s="1"/>
  <c r="Y22" i="3"/>
  <c r="T85" i="3"/>
  <c r="S86" i="3"/>
  <c r="D24" i="3" l="1"/>
  <c r="G24" i="3" s="1"/>
  <c r="T86" i="3"/>
  <c r="S87" i="3"/>
  <c r="A89" i="3"/>
  <c r="B89" i="3" s="1"/>
  <c r="P88" i="3"/>
  <c r="Q88" i="3" s="1"/>
  <c r="R88" i="3" s="1"/>
  <c r="AC88" i="3"/>
  <c r="Z88" i="3"/>
  <c r="AA88" i="3"/>
  <c r="AD88" i="3"/>
  <c r="K24" i="3"/>
  <c r="F24" i="3" l="1"/>
  <c r="AD89" i="3"/>
  <c r="AC89" i="3"/>
  <c r="P89" i="3"/>
  <c r="Q89" i="3" s="1"/>
  <c r="R89" i="3" s="1"/>
  <c r="Z89" i="3"/>
  <c r="AA89" i="3"/>
  <c r="A90" i="3"/>
  <c r="B90" i="3" s="1"/>
  <c r="S88" i="3"/>
  <c r="T87" i="3"/>
  <c r="V24" i="3"/>
  <c r="AE24" i="3"/>
  <c r="I24" i="3"/>
  <c r="J24" i="3"/>
  <c r="M24" i="3"/>
  <c r="N24" i="3" s="1"/>
  <c r="T88" i="3" l="1"/>
  <c r="S89" i="3"/>
  <c r="A91" i="3"/>
  <c r="B91" i="3" s="1"/>
  <c r="P90" i="3"/>
  <c r="Q90" i="3" s="1"/>
  <c r="R90" i="3" s="1"/>
  <c r="AC90" i="3"/>
  <c r="Z90" i="3"/>
  <c r="AA90" i="3"/>
  <c r="AD90" i="3"/>
  <c r="L24" i="3"/>
  <c r="W24" i="3"/>
  <c r="S90" i="3" l="1"/>
  <c r="T89" i="3"/>
  <c r="P91" i="3"/>
  <c r="Q91" i="3" s="1"/>
  <c r="R91" i="3" s="1"/>
  <c r="AD91" i="3"/>
  <c r="AA91" i="3"/>
  <c r="A92" i="3"/>
  <c r="B92" i="3" s="1"/>
  <c r="AC91" i="3"/>
  <c r="Z91" i="3"/>
  <c r="AH25" i="3"/>
  <c r="AG25" i="3"/>
  <c r="U24" i="3"/>
  <c r="D25" i="3" s="1"/>
  <c r="Y23" i="3"/>
  <c r="E25" i="3" l="1"/>
  <c r="H25" i="3" s="1"/>
  <c r="K25" i="3" s="1"/>
  <c r="G25" i="3"/>
  <c r="AA92" i="3"/>
  <c r="AD92" i="3"/>
  <c r="AC92" i="3"/>
  <c r="P92" i="3"/>
  <c r="Q92" i="3" s="1"/>
  <c r="R92" i="3" s="1"/>
  <c r="Z92" i="3"/>
  <c r="A93" i="3"/>
  <c r="B93" i="3" s="1"/>
  <c r="S91" i="3"/>
  <c r="T90" i="3"/>
  <c r="F25" i="3" l="1"/>
  <c r="S92" i="3"/>
  <c r="T91" i="3"/>
  <c r="Z93" i="3"/>
  <c r="AA93" i="3"/>
  <c r="P93" i="3"/>
  <c r="Q93" i="3" s="1"/>
  <c r="R93" i="3" s="1"/>
  <c r="A94" i="3"/>
  <c r="B94" i="3" s="1"/>
  <c r="AD93" i="3"/>
  <c r="AC93" i="3"/>
  <c r="I25" i="3"/>
  <c r="J25" i="3"/>
  <c r="M25" i="3"/>
  <c r="N25" i="3" s="1"/>
  <c r="V25" i="3"/>
  <c r="AE25" i="3"/>
  <c r="W25" i="3" l="1"/>
  <c r="AC94" i="3"/>
  <c r="Z94" i="3"/>
  <c r="AA94" i="3"/>
  <c r="AD94" i="3"/>
  <c r="A95" i="3"/>
  <c r="B95" i="3" s="1"/>
  <c r="P94" i="3"/>
  <c r="Q94" i="3" s="1"/>
  <c r="R94" i="3" s="1"/>
  <c r="L25" i="3"/>
  <c r="T92" i="3"/>
  <c r="S93" i="3"/>
  <c r="U25" i="3" l="1"/>
  <c r="E26" i="3" s="1"/>
  <c r="H26" i="3" s="1"/>
  <c r="AH26" i="3"/>
  <c r="AG26" i="3"/>
  <c r="Y24" i="3"/>
  <c r="Z95" i="3"/>
  <c r="A96" i="3"/>
  <c r="B96" i="3" s="1"/>
  <c r="P95" i="3"/>
  <c r="Q95" i="3" s="1"/>
  <c r="R95" i="3" s="1"/>
  <c r="AC95" i="3"/>
  <c r="AD95" i="3"/>
  <c r="AA95" i="3"/>
  <c r="S94" i="3"/>
  <c r="T93" i="3"/>
  <c r="D26" i="3" l="1"/>
  <c r="G26" i="3" s="1"/>
  <c r="K26" i="3"/>
  <c r="Z96" i="3"/>
  <c r="P96" i="3"/>
  <c r="Q96" i="3" s="1"/>
  <c r="R96" i="3" s="1"/>
  <c r="AC96" i="3"/>
  <c r="AA96" i="3"/>
  <c r="AD96" i="3"/>
  <c r="A97" i="3"/>
  <c r="B97" i="3" s="1"/>
  <c r="T94" i="3"/>
  <c r="S95" i="3"/>
  <c r="F26" i="3" l="1"/>
  <c r="I26" i="3"/>
  <c r="J26" i="3"/>
  <c r="M26" i="3"/>
  <c r="N26" i="3" s="1"/>
  <c r="S96" i="3"/>
  <c r="T95" i="3"/>
  <c r="A98" i="3"/>
  <c r="B98" i="3" s="1"/>
  <c r="P97" i="3"/>
  <c r="Q97" i="3" s="1"/>
  <c r="R97" i="3" s="1"/>
  <c r="AD97" i="3"/>
  <c r="AA97" i="3"/>
  <c r="Z97" i="3"/>
  <c r="AC97" i="3"/>
  <c r="V26" i="3"/>
  <c r="AE26" i="3"/>
  <c r="W26" i="3" l="1"/>
  <c r="A99" i="3"/>
  <c r="B99" i="3" s="1"/>
  <c r="AD98" i="3"/>
  <c r="AA98" i="3"/>
  <c r="P98" i="3"/>
  <c r="Q98" i="3" s="1"/>
  <c r="R98" i="3" s="1"/>
  <c r="Z98" i="3"/>
  <c r="AC98" i="3"/>
  <c r="S97" i="3"/>
  <c r="T96" i="3"/>
  <c r="L26" i="3"/>
  <c r="AD99" i="3" l="1"/>
  <c r="P99" i="3"/>
  <c r="Q99" i="3" s="1"/>
  <c r="R99" i="3" s="1"/>
  <c r="Z99" i="3"/>
  <c r="A100" i="3"/>
  <c r="B100" i="3" s="1"/>
  <c r="AC99" i="3"/>
  <c r="AA99" i="3"/>
  <c r="T97" i="3"/>
  <c r="S98" i="3"/>
  <c r="AH27" i="3"/>
  <c r="U26" i="3"/>
  <c r="D27" i="3" s="1"/>
  <c r="AG27" i="3"/>
  <c r="Y25" i="3"/>
  <c r="E27" i="3" l="1"/>
  <c r="H27" i="3" s="1"/>
  <c r="K27" i="3" s="1"/>
  <c r="G27" i="3"/>
  <c r="A101" i="3"/>
  <c r="B101" i="3" s="1"/>
  <c r="AA100" i="3"/>
  <c r="AC100" i="3"/>
  <c r="Z100" i="3"/>
  <c r="AD100" i="3"/>
  <c r="P100" i="3"/>
  <c r="Q100" i="3" s="1"/>
  <c r="R100" i="3" s="1"/>
  <c r="T98" i="3"/>
  <c r="S99" i="3"/>
  <c r="F27" i="3" l="1"/>
  <c r="AD101" i="3"/>
  <c r="Z101" i="3"/>
  <c r="P101" i="3"/>
  <c r="Q101" i="3" s="1"/>
  <c r="R101" i="3" s="1"/>
  <c r="AC101" i="3"/>
  <c r="A102" i="3"/>
  <c r="B102" i="3" s="1"/>
  <c r="AA101" i="3"/>
  <c r="I27" i="3"/>
  <c r="J27" i="3"/>
  <c r="M27" i="3"/>
  <c r="N27" i="3" s="1"/>
  <c r="V27" i="3"/>
  <c r="AE27" i="3"/>
  <c r="T99" i="3"/>
  <c r="S100" i="3"/>
  <c r="P102" i="3" l="1"/>
  <c r="Q102" i="3" s="1"/>
  <c r="R102" i="3" s="1"/>
  <c r="A103" i="3"/>
  <c r="B103" i="3" s="1"/>
  <c r="AA102" i="3"/>
  <c r="AC102" i="3"/>
  <c r="AD102" i="3"/>
  <c r="Z102" i="3"/>
  <c r="T100" i="3"/>
  <c r="S101" i="3"/>
  <c r="L27" i="3"/>
  <c r="W27" i="3"/>
  <c r="P103" i="3" l="1"/>
  <c r="Q103" i="3" s="1"/>
  <c r="R103" i="3" s="1"/>
  <c r="AD103" i="3"/>
  <c r="AC103" i="3"/>
  <c r="Z103" i="3"/>
  <c r="A104" i="3"/>
  <c r="B104" i="3" s="1"/>
  <c r="AA103" i="3"/>
  <c r="U27" i="3"/>
  <c r="E28" i="3" s="1"/>
  <c r="H28" i="3" s="1"/>
  <c r="AG28" i="3"/>
  <c r="AH28" i="3"/>
  <c r="Y26" i="3"/>
  <c r="S102" i="3"/>
  <c r="T101" i="3"/>
  <c r="D28" i="3" l="1"/>
  <c r="F28" i="3" s="1"/>
  <c r="K28" i="3"/>
  <c r="A105" i="3"/>
  <c r="B105" i="3" s="1"/>
  <c r="AC104" i="3"/>
  <c r="P104" i="3"/>
  <c r="Q104" i="3" s="1"/>
  <c r="R104" i="3" s="1"/>
  <c r="Z104" i="3"/>
  <c r="AA104" i="3"/>
  <c r="T102" i="3"/>
  <c r="S103" i="3"/>
  <c r="G28" i="3" l="1"/>
  <c r="I28" i="3" s="1"/>
  <c r="A106" i="3"/>
  <c r="B106" i="3" s="1"/>
  <c r="AA105" i="3"/>
  <c r="Z105" i="3"/>
  <c r="P105" i="3"/>
  <c r="Q105" i="3" s="1"/>
  <c r="R105" i="3" s="1"/>
  <c r="AC105" i="3"/>
  <c r="AD105" i="3"/>
  <c r="S104" i="3"/>
  <c r="T103" i="3"/>
  <c r="V28" i="3"/>
  <c r="AE28" i="3"/>
  <c r="M28" i="3" l="1"/>
  <c r="N28" i="3" s="1"/>
  <c r="J28" i="3"/>
  <c r="L28" i="3" s="1"/>
  <c r="W28" i="3"/>
  <c r="P106" i="3"/>
  <c r="Q106" i="3" s="1"/>
  <c r="R106" i="3" s="1"/>
  <c r="Z106" i="3"/>
  <c r="A107" i="3"/>
  <c r="B107" i="3" s="1"/>
  <c r="AD106" i="3"/>
  <c r="AC106" i="3"/>
  <c r="AA106" i="3"/>
  <c r="S105" i="3"/>
  <c r="T104" i="3"/>
  <c r="S106" i="3" l="1"/>
  <c r="T105" i="3"/>
  <c r="Z107" i="3"/>
  <c r="AA107" i="3"/>
  <c r="AC107" i="3"/>
  <c r="AD107" i="3"/>
  <c r="P107" i="3"/>
  <c r="Q107" i="3" s="1"/>
  <c r="R107" i="3" s="1"/>
  <c r="A108" i="3"/>
  <c r="B108" i="3" s="1"/>
  <c r="AH29" i="3"/>
  <c r="AG29" i="3"/>
  <c r="U28" i="3"/>
  <c r="E29" i="3" s="1"/>
  <c r="H29" i="3" s="1"/>
  <c r="Y27" i="3"/>
  <c r="D29" i="3" l="1"/>
  <c r="F29" i="3" s="1"/>
  <c r="Z108" i="3"/>
  <c r="AA108" i="3"/>
  <c r="A109" i="3"/>
  <c r="B109" i="3" s="1"/>
  <c r="AC108" i="3"/>
  <c r="P108" i="3"/>
  <c r="Q108" i="3" s="1"/>
  <c r="R108" i="3" s="1"/>
  <c r="AD108" i="3"/>
  <c r="S107" i="3"/>
  <c r="T106" i="3"/>
  <c r="K29" i="3"/>
  <c r="G29" i="3" l="1"/>
  <c r="M29" i="3" s="1"/>
  <c r="N29" i="3" s="1"/>
  <c r="A110" i="3"/>
  <c r="B110" i="3" s="1"/>
  <c r="AD109" i="3"/>
  <c r="P109" i="3"/>
  <c r="Q109" i="3" s="1"/>
  <c r="R109" i="3" s="1"/>
  <c r="AA109" i="3"/>
  <c r="Z109" i="3"/>
  <c r="AC109" i="3"/>
  <c r="V29" i="3"/>
  <c r="AE29" i="3"/>
  <c r="T107" i="3"/>
  <c r="S108" i="3"/>
  <c r="J29" i="3" l="1"/>
  <c r="L29" i="3" s="1"/>
  <c r="I29" i="3"/>
  <c r="W29" i="3" s="1"/>
  <c r="AA110" i="3"/>
  <c r="A111" i="3"/>
  <c r="B111" i="3" s="1"/>
  <c r="AD110" i="3"/>
  <c r="Z110" i="3"/>
  <c r="P110" i="3"/>
  <c r="Q110" i="3" s="1"/>
  <c r="R110" i="3" s="1"/>
  <c r="AC110" i="3"/>
  <c r="S109" i="3"/>
  <c r="T108" i="3"/>
  <c r="A112" i="3" l="1"/>
  <c r="B112" i="3" s="1"/>
  <c r="AA111" i="3"/>
  <c r="AC111" i="3"/>
  <c r="P111" i="3"/>
  <c r="Q111" i="3" s="1"/>
  <c r="R111" i="3" s="1"/>
  <c r="AD111" i="3"/>
  <c r="Z111" i="3"/>
  <c r="U29" i="3"/>
  <c r="D30" i="3" s="1"/>
  <c r="AG30" i="3"/>
  <c r="AH30" i="3"/>
  <c r="Y28" i="3"/>
  <c r="S110" i="3"/>
  <c r="T109" i="3"/>
  <c r="E30" i="3" l="1"/>
  <c r="H30" i="3" s="1"/>
  <c r="K30" i="3" s="1"/>
  <c r="AD112" i="3"/>
  <c r="P112" i="3"/>
  <c r="Q112" i="3" s="1"/>
  <c r="R112" i="3" s="1"/>
  <c r="AA112" i="3"/>
  <c r="Z112" i="3"/>
  <c r="A113" i="3"/>
  <c r="B113" i="3" s="1"/>
  <c r="AC112" i="3"/>
  <c r="G30" i="3"/>
  <c r="T110" i="3"/>
  <c r="S111" i="3"/>
  <c r="F30" i="3" l="1"/>
  <c r="AC113" i="3"/>
  <c r="AA113" i="3"/>
  <c r="A114" i="3"/>
  <c r="B114" i="3" s="1"/>
  <c r="Z113" i="3"/>
  <c r="P113" i="3"/>
  <c r="Q113" i="3" s="1"/>
  <c r="R113" i="3" s="1"/>
  <c r="AD113" i="3"/>
  <c r="S112" i="3"/>
  <c r="T111" i="3"/>
  <c r="I30" i="3"/>
  <c r="J30" i="3"/>
  <c r="M30" i="3"/>
  <c r="N30" i="3" s="1"/>
  <c r="V30" i="3"/>
  <c r="AE30" i="3"/>
  <c r="W30" i="3" l="1"/>
  <c r="P114" i="3"/>
  <c r="Q114" i="3" s="1"/>
  <c r="R114" i="3" s="1"/>
  <c r="AD114" i="3"/>
  <c r="Z114" i="3"/>
  <c r="AC114" i="3"/>
  <c r="AA114" i="3"/>
  <c r="A115" i="3"/>
  <c r="B115" i="3" s="1"/>
  <c r="S113" i="3"/>
  <c r="T112" i="3"/>
  <c r="L30" i="3"/>
  <c r="AA115" i="3" l="1"/>
  <c r="A116" i="3"/>
  <c r="B116" i="3" s="1"/>
  <c r="Z115" i="3"/>
  <c r="AD115" i="3"/>
  <c r="P115" i="3"/>
  <c r="Q115" i="3" s="1"/>
  <c r="R115" i="3" s="1"/>
  <c r="AC115" i="3"/>
  <c r="T113" i="3"/>
  <c r="S114" i="3"/>
  <c r="U30" i="3"/>
  <c r="D31" i="3" s="1"/>
  <c r="AG31" i="3"/>
  <c r="AH31" i="3"/>
  <c r="Y29" i="3"/>
  <c r="E31" i="3" l="1"/>
  <c r="H31" i="3" s="1"/>
  <c r="K31" i="3" s="1"/>
  <c r="AD116" i="3"/>
  <c r="P116" i="3"/>
  <c r="Q116" i="3" s="1"/>
  <c r="R116" i="3" s="1"/>
  <c r="AA116" i="3"/>
  <c r="A117" i="3"/>
  <c r="B117" i="3" s="1"/>
  <c r="AC116" i="3"/>
  <c r="Z116" i="3"/>
  <c r="S115" i="3"/>
  <c r="T114" i="3"/>
  <c r="G31" i="3"/>
  <c r="F31" i="3" l="1"/>
  <c r="A118" i="3"/>
  <c r="B118" i="3" s="1"/>
  <c r="Z117" i="3"/>
  <c r="P117" i="3"/>
  <c r="Q117" i="3" s="1"/>
  <c r="R117" i="3" s="1"/>
  <c r="AC117" i="3"/>
  <c r="AD117" i="3"/>
  <c r="AA117" i="3"/>
  <c r="S116" i="3"/>
  <c r="T115" i="3"/>
  <c r="V31" i="3"/>
  <c r="AE31" i="3"/>
  <c r="I31" i="3"/>
  <c r="J31" i="3"/>
  <c r="M31" i="3"/>
  <c r="N31" i="3" s="1"/>
  <c r="P118" i="3" l="1"/>
  <c r="Q118" i="3" s="1"/>
  <c r="R118" i="3" s="1"/>
  <c r="Z118" i="3"/>
  <c r="AA118" i="3"/>
  <c r="AC118" i="3"/>
  <c r="A119" i="3"/>
  <c r="B119" i="3" s="1"/>
  <c r="AD118" i="3"/>
  <c r="L31" i="3"/>
  <c r="S117" i="3"/>
  <c r="T116" i="3"/>
  <c r="W31" i="3"/>
  <c r="S118" i="3" l="1"/>
  <c r="T117" i="3"/>
  <c r="AG32" i="3"/>
  <c r="AH32" i="3"/>
  <c r="U31" i="3"/>
  <c r="E32" i="3" s="1"/>
  <c r="H32" i="3" s="1"/>
  <c r="Y30" i="3"/>
  <c r="AD119" i="3"/>
  <c r="Z119" i="3"/>
  <c r="AC119" i="3"/>
  <c r="P119" i="3"/>
  <c r="Q119" i="3" s="1"/>
  <c r="R119" i="3" s="1"/>
  <c r="AA119" i="3"/>
  <c r="A120" i="3"/>
  <c r="B120" i="3" s="1"/>
  <c r="D32" i="3" l="1"/>
  <c r="F32" i="3" s="1"/>
  <c r="K32" i="3"/>
  <c r="T118" i="3"/>
  <c r="S119" i="3"/>
  <c r="P120" i="3"/>
  <c r="Q120" i="3" s="1"/>
  <c r="R120" i="3" s="1"/>
  <c r="Z120" i="3"/>
  <c r="AA120" i="3"/>
  <c r="AD120" i="3"/>
  <c r="A121" i="3"/>
  <c r="B121" i="3" s="1"/>
  <c r="AC120" i="3"/>
  <c r="G32" i="3" l="1"/>
  <c r="I32" i="3" s="1"/>
  <c r="A122" i="3"/>
  <c r="B122" i="3" s="1"/>
  <c r="P121" i="3"/>
  <c r="Q121" i="3" s="1"/>
  <c r="R121" i="3" s="1"/>
  <c r="AC121" i="3"/>
  <c r="AD121" i="3"/>
  <c r="AA121" i="3"/>
  <c r="Z121" i="3"/>
  <c r="V32" i="3"/>
  <c r="AE32" i="3"/>
  <c r="T119" i="3"/>
  <c r="S120" i="3"/>
  <c r="M32" i="3" l="1"/>
  <c r="N32" i="3" s="1"/>
  <c r="J32" i="3"/>
  <c r="L32" i="3" s="1"/>
  <c r="W32" i="3"/>
  <c r="AD122" i="3"/>
  <c r="A123" i="3"/>
  <c r="B123" i="3" s="1"/>
  <c r="Z122" i="3"/>
  <c r="AA122" i="3"/>
  <c r="P122" i="3"/>
  <c r="Q122" i="3" s="1"/>
  <c r="R122" i="3" s="1"/>
  <c r="AC122" i="3"/>
  <c r="S121" i="3"/>
  <c r="T120" i="3"/>
  <c r="T121" i="3" l="1"/>
  <c r="S122" i="3"/>
  <c r="AA123" i="3"/>
  <c r="P123" i="3"/>
  <c r="Q123" i="3" s="1"/>
  <c r="R123" i="3" s="1"/>
  <c r="A124" i="3"/>
  <c r="B124" i="3" s="1"/>
  <c r="Z123" i="3"/>
  <c r="AC123" i="3"/>
  <c r="AD123" i="3"/>
  <c r="AH33" i="3"/>
  <c r="AG33" i="3"/>
  <c r="U32" i="3"/>
  <c r="D33" i="3" s="1"/>
  <c r="Y31" i="3"/>
  <c r="E33" i="3" l="1"/>
  <c r="H33" i="3" s="1"/>
  <c r="K33" i="3" s="1"/>
  <c r="A125" i="3"/>
  <c r="B125" i="3" s="1"/>
  <c r="P124" i="3"/>
  <c r="Q124" i="3" s="1"/>
  <c r="R124" i="3" s="1"/>
  <c r="AC124" i="3"/>
  <c r="AA124" i="3"/>
  <c r="Z124" i="3"/>
  <c r="AD124" i="3"/>
  <c r="T122" i="3"/>
  <c r="S123" i="3"/>
  <c r="G33" i="3"/>
  <c r="F33" i="3" l="1"/>
  <c r="P125" i="3"/>
  <c r="Q125" i="3" s="1"/>
  <c r="R125" i="3" s="1"/>
  <c r="Z125" i="3"/>
  <c r="AC125" i="3"/>
  <c r="AD125" i="3"/>
  <c r="AA125" i="3"/>
  <c r="A126" i="3"/>
  <c r="B126" i="3" s="1"/>
  <c r="S124" i="3"/>
  <c r="T123" i="3"/>
  <c r="I33" i="3"/>
  <c r="J33" i="3"/>
  <c r="M33" i="3"/>
  <c r="N33" i="3" s="1"/>
  <c r="V33" i="3"/>
  <c r="AE33" i="3"/>
  <c r="W33" i="3" l="1"/>
  <c r="AA126" i="3"/>
  <c r="P126" i="3"/>
  <c r="Q126" i="3" s="1"/>
  <c r="R126" i="3" s="1"/>
  <c r="Z126" i="3"/>
  <c r="AC126" i="3"/>
  <c r="A127" i="3"/>
  <c r="B127" i="3" s="1"/>
  <c r="AD126" i="3"/>
  <c r="L33" i="3"/>
  <c r="S125" i="3"/>
  <c r="T124" i="3"/>
  <c r="Z127" i="3" l="1"/>
  <c r="AC127" i="3"/>
  <c r="P127" i="3"/>
  <c r="Q127" i="3" s="1"/>
  <c r="R127" i="3" s="1"/>
  <c r="AD127" i="3"/>
  <c r="A128" i="3"/>
  <c r="B128" i="3" s="1"/>
  <c r="AA127" i="3"/>
  <c r="AH34" i="3"/>
  <c r="AG34" i="3"/>
  <c r="U33" i="3"/>
  <c r="D34" i="3" s="1"/>
  <c r="Y32" i="3"/>
  <c r="S126" i="3"/>
  <c r="T125" i="3"/>
  <c r="G34" i="3" l="1"/>
  <c r="P128" i="3"/>
  <c r="Q128" i="3" s="1"/>
  <c r="R128" i="3" s="1"/>
  <c r="Z128" i="3"/>
  <c r="AC128" i="3"/>
  <c r="AA128" i="3"/>
  <c r="A129" i="3"/>
  <c r="B129" i="3" s="1"/>
  <c r="AD128" i="3"/>
  <c r="E34" i="3"/>
  <c r="H34" i="3" s="1"/>
  <c r="S127" i="3"/>
  <c r="T126" i="3"/>
  <c r="F34" i="3" l="1"/>
  <c r="I34" i="3"/>
  <c r="J34" i="3"/>
  <c r="AD34" i="3" s="1"/>
  <c r="M34" i="3"/>
  <c r="N34" i="3" s="1"/>
  <c r="K34" i="3"/>
  <c r="P129" i="3"/>
  <c r="Q129" i="3" s="1"/>
  <c r="R129" i="3" s="1"/>
  <c r="AC129" i="3"/>
  <c r="Z129" i="3"/>
  <c r="A130" i="3"/>
  <c r="B130" i="3" s="1"/>
  <c r="AD129" i="3"/>
  <c r="AA129" i="3"/>
  <c r="S128" i="3"/>
  <c r="T127" i="3"/>
  <c r="A131" i="3" l="1"/>
  <c r="B131" i="3" s="1"/>
  <c r="AD130" i="3"/>
  <c r="P130" i="3"/>
  <c r="Q130" i="3" s="1"/>
  <c r="R130" i="3" s="1"/>
  <c r="AC130" i="3"/>
  <c r="AA130" i="3"/>
  <c r="Z130" i="3"/>
  <c r="S129" i="3"/>
  <c r="T128" i="3"/>
  <c r="V34" i="3"/>
  <c r="W34" i="3" s="1"/>
  <c r="AE34" i="3"/>
  <c r="L34" i="3"/>
  <c r="T129" i="3" l="1"/>
  <c r="S130" i="3"/>
  <c r="AC131" i="3"/>
  <c r="AD131" i="3"/>
  <c r="A132" i="3"/>
  <c r="B132" i="3" s="1"/>
  <c r="Z131" i="3"/>
  <c r="P131" i="3"/>
  <c r="Q131" i="3" s="1"/>
  <c r="R131" i="3" s="1"/>
  <c r="AA131" i="3"/>
  <c r="U34" i="3"/>
  <c r="E35" i="3" s="1"/>
  <c r="H35" i="3" s="1"/>
  <c r="AH35" i="3"/>
  <c r="AG35" i="3"/>
  <c r="Y33" i="3"/>
  <c r="D35" i="3" l="1"/>
  <c r="G35" i="3" s="1"/>
  <c r="AD132" i="3"/>
  <c r="P132" i="3"/>
  <c r="Q132" i="3" s="1"/>
  <c r="R132" i="3" s="1"/>
  <c r="Z132" i="3"/>
  <c r="A133" i="3"/>
  <c r="B133" i="3" s="1"/>
  <c r="AC132" i="3"/>
  <c r="AA132" i="3"/>
  <c r="T130" i="3"/>
  <c r="S131" i="3"/>
  <c r="K35" i="3"/>
  <c r="F35" i="3" l="1"/>
  <c r="AD133" i="3"/>
  <c r="P133" i="3"/>
  <c r="Q133" i="3" s="1"/>
  <c r="R133" i="3" s="1"/>
  <c r="Z133" i="3"/>
  <c r="A134" i="3"/>
  <c r="B134" i="3" s="1"/>
  <c r="AA133" i="3"/>
  <c r="AC133" i="3"/>
  <c r="S132" i="3"/>
  <c r="T131" i="3"/>
  <c r="I35" i="3"/>
  <c r="J35" i="3"/>
  <c r="M35" i="3"/>
  <c r="N35" i="3" s="1"/>
  <c r="V35" i="3"/>
  <c r="AE35" i="3"/>
  <c r="W35" i="3" l="1"/>
  <c r="AC134" i="3"/>
  <c r="AA134" i="3"/>
  <c r="A135" i="3"/>
  <c r="B135" i="3" s="1"/>
  <c r="P134" i="3"/>
  <c r="Q134" i="3" s="1"/>
  <c r="R134" i="3" s="1"/>
  <c r="Z134" i="3"/>
  <c r="L35" i="3"/>
  <c r="S133" i="3"/>
  <c r="T132" i="3"/>
  <c r="AD135" i="3" l="1"/>
  <c r="P135" i="3"/>
  <c r="Q135" i="3" s="1"/>
  <c r="R135" i="3" s="1"/>
  <c r="A136" i="3"/>
  <c r="B136" i="3" s="1"/>
  <c r="AA135" i="3"/>
  <c r="AC135" i="3"/>
  <c r="Z135" i="3"/>
  <c r="S134" i="3"/>
  <c r="T133" i="3"/>
  <c r="U35" i="3"/>
  <c r="E36" i="3" s="1"/>
  <c r="H36" i="3" s="1"/>
  <c r="AG36" i="3"/>
  <c r="AH36" i="3"/>
  <c r="Y34" i="3"/>
  <c r="K36" i="3" l="1"/>
  <c r="A137" i="3"/>
  <c r="B137" i="3" s="1"/>
  <c r="P136" i="3"/>
  <c r="Q136" i="3" s="1"/>
  <c r="R136" i="3" s="1"/>
  <c r="AA136" i="3"/>
  <c r="Z136" i="3"/>
  <c r="AD136" i="3"/>
  <c r="AC136" i="3"/>
  <c r="T134" i="3"/>
  <c r="S135" i="3"/>
  <c r="D36" i="3"/>
  <c r="T135" i="3" l="1"/>
  <c r="S136" i="3"/>
  <c r="F36" i="3"/>
  <c r="G36" i="3"/>
  <c r="P137" i="3"/>
  <c r="Q137" i="3" s="1"/>
  <c r="R137" i="3" s="1"/>
  <c r="Z137" i="3"/>
  <c r="AA137" i="3"/>
  <c r="AD137" i="3"/>
  <c r="AC137" i="3"/>
  <c r="A138" i="3"/>
  <c r="B138" i="3" s="1"/>
  <c r="V36" i="3"/>
  <c r="AE36" i="3"/>
  <c r="A139" i="3" l="1"/>
  <c r="B139" i="3" s="1"/>
  <c r="AC138" i="3"/>
  <c r="P138" i="3"/>
  <c r="Q138" i="3" s="1"/>
  <c r="R138" i="3" s="1"/>
  <c r="AA138" i="3"/>
  <c r="AD138" i="3"/>
  <c r="Z138" i="3"/>
  <c r="S137" i="3"/>
  <c r="T136" i="3"/>
  <c r="I36" i="3"/>
  <c r="W36" i="3" s="1"/>
  <c r="J36" i="3"/>
  <c r="M36" i="3"/>
  <c r="N36" i="3" s="1"/>
  <c r="L36" i="3" l="1"/>
  <c r="T137" i="3"/>
  <c r="S138" i="3"/>
  <c r="A140" i="3"/>
  <c r="B140" i="3" s="1"/>
  <c r="AA139" i="3"/>
  <c r="AD139" i="3"/>
  <c r="AC139" i="3"/>
  <c r="Z139" i="3"/>
  <c r="P139" i="3"/>
  <c r="Q139" i="3" s="1"/>
  <c r="R139" i="3" s="1"/>
  <c r="P140" i="3" l="1"/>
  <c r="Q140" i="3" s="1"/>
  <c r="R140" i="3" s="1"/>
  <c r="AD140" i="3"/>
  <c r="A141" i="3"/>
  <c r="B141" i="3" s="1"/>
  <c r="AA140" i="3"/>
  <c r="Z140" i="3"/>
  <c r="AC140" i="3"/>
  <c r="AH37" i="3"/>
  <c r="AG37" i="3"/>
  <c r="U36" i="3"/>
  <c r="E37" i="3" s="1"/>
  <c r="H37" i="3" s="1"/>
  <c r="Y35" i="3"/>
  <c r="S139" i="3"/>
  <c r="T138" i="3"/>
  <c r="D37" i="3" l="1"/>
  <c r="G37" i="3" s="1"/>
  <c r="A142" i="3"/>
  <c r="B142" i="3" s="1"/>
  <c r="P141" i="3"/>
  <c r="Q141" i="3" s="1"/>
  <c r="R141" i="3" s="1"/>
  <c r="AC141" i="3"/>
  <c r="Z141" i="3"/>
  <c r="AD141" i="3"/>
  <c r="AA141" i="3"/>
  <c r="K37" i="3"/>
  <c r="S140" i="3"/>
  <c r="T139" i="3"/>
  <c r="F37" i="3" l="1"/>
  <c r="A143" i="3"/>
  <c r="B143" i="3" s="1"/>
  <c r="AA142" i="3"/>
  <c r="P142" i="3"/>
  <c r="Q142" i="3" s="1"/>
  <c r="R142" i="3" s="1"/>
  <c r="AC142" i="3"/>
  <c r="AD142" i="3"/>
  <c r="Z142" i="3"/>
  <c r="I37" i="3"/>
  <c r="J37" i="3"/>
  <c r="M37" i="3"/>
  <c r="N37" i="3" s="1"/>
  <c r="V37" i="3"/>
  <c r="AE37" i="3"/>
  <c r="T140" i="3"/>
  <c r="S141" i="3"/>
  <c r="W37" i="3" l="1"/>
  <c r="P143" i="3"/>
  <c r="Q143" i="3" s="1"/>
  <c r="R143" i="3" s="1"/>
  <c r="AC143" i="3"/>
  <c r="A144" i="3"/>
  <c r="B144" i="3" s="1"/>
  <c r="AD143" i="3"/>
  <c r="AA143" i="3"/>
  <c r="Z143" i="3"/>
  <c r="T141" i="3"/>
  <c r="S142" i="3"/>
  <c r="L37" i="3"/>
  <c r="T142" i="3" l="1"/>
  <c r="S143" i="3"/>
  <c r="Z144" i="3"/>
  <c r="P144" i="3"/>
  <c r="Q144" i="3" s="1"/>
  <c r="R144" i="3" s="1"/>
  <c r="A145" i="3"/>
  <c r="B145" i="3" s="1"/>
  <c r="AA144" i="3"/>
  <c r="AC144" i="3"/>
  <c r="AD144" i="3"/>
  <c r="AH38" i="3"/>
  <c r="AG38" i="3"/>
  <c r="U37" i="3"/>
  <c r="D38" i="3" s="1"/>
  <c r="Y36" i="3"/>
  <c r="G38" i="3" l="1"/>
  <c r="P145" i="3"/>
  <c r="Q145" i="3" s="1"/>
  <c r="R145" i="3" s="1"/>
  <c r="A146" i="3"/>
  <c r="B146" i="3" s="1"/>
  <c r="Z145" i="3"/>
  <c r="AA145" i="3"/>
  <c r="AC145" i="3"/>
  <c r="AD145" i="3"/>
  <c r="T143" i="3"/>
  <c r="S144" i="3"/>
  <c r="E38" i="3"/>
  <c r="H38" i="3" s="1"/>
  <c r="Z146" i="3" l="1"/>
  <c r="A147" i="3"/>
  <c r="B147" i="3" s="1"/>
  <c r="AA146" i="3"/>
  <c r="AD146" i="3"/>
  <c r="P146" i="3"/>
  <c r="Q146" i="3" s="1"/>
  <c r="R146" i="3" s="1"/>
  <c r="AC146" i="3"/>
  <c r="K38" i="3"/>
  <c r="F38" i="3"/>
  <c r="I38" i="3"/>
  <c r="J38" i="3"/>
  <c r="M38" i="3"/>
  <c r="N38" i="3" s="1"/>
  <c r="T144" i="3"/>
  <c r="S145" i="3"/>
  <c r="Z147" i="3" l="1"/>
  <c r="P147" i="3"/>
  <c r="Q147" i="3" s="1"/>
  <c r="R147" i="3" s="1"/>
  <c r="AC147" i="3"/>
  <c r="A148" i="3"/>
  <c r="B148" i="3" s="1"/>
  <c r="AD147" i="3"/>
  <c r="AA147" i="3"/>
  <c r="S146" i="3"/>
  <c r="T145" i="3"/>
  <c r="L38" i="3"/>
  <c r="V38" i="3"/>
  <c r="W38" i="3" s="1"/>
  <c r="AE38" i="3"/>
  <c r="AD148" i="3" l="1"/>
  <c r="P148" i="3"/>
  <c r="Q148" i="3" s="1"/>
  <c r="R148" i="3" s="1"/>
  <c r="Z148" i="3"/>
  <c r="AC148" i="3"/>
  <c r="AA148" i="3"/>
  <c r="A149" i="3"/>
  <c r="B149" i="3" s="1"/>
  <c r="S147" i="3"/>
  <c r="T146" i="3"/>
  <c r="U38" i="3"/>
  <c r="D39" i="3" s="1"/>
  <c r="AG39" i="3"/>
  <c r="AH39" i="3"/>
  <c r="Y37" i="3"/>
  <c r="G39" i="3" l="1"/>
  <c r="AD149" i="3"/>
  <c r="AC149" i="3"/>
  <c r="P149" i="3"/>
  <c r="Q149" i="3" s="1"/>
  <c r="R149" i="3" s="1"/>
  <c r="AA149" i="3"/>
  <c r="Z149" i="3"/>
  <c r="A150" i="3"/>
  <c r="B150" i="3" s="1"/>
  <c r="T147" i="3"/>
  <c r="S148" i="3"/>
  <c r="E39" i="3"/>
  <c r="H39" i="3" s="1"/>
  <c r="AA150" i="3" l="1"/>
  <c r="P150" i="3"/>
  <c r="Q150" i="3" s="1"/>
  <c r="R150" i="3" s="1"/>
  <c r="Z150" i="3"/>
  <c r="AD150" i="3"/>
  <c r="AC150" i="3"/>
  <c r="A151" i="3"/>
  <c r="B151" i="3" s="1"/>
  <c r="F39" i="3"/>
  <c r="K39" i="3"/>
  <c r="I39" i="3"/>
  <c r="J39" i="3"/>
  <c r="M39" i="3"/>
  <c r="N39" i="3" s="1"/>
  <c r="T148" i="3"/>
  <c r="S149" i="3"/>
  <c r="S150" i="3" l="1"/>
  <c r="T149" i="3"/>
  <c r="P151" i="3"/>
  <c r="Q151" i="3" s="1"/>
  <c r="R151" i="3" s="1"/>
  <c r="AC151" i="3"/>
  <c r="AD151" i="3"/>
  <c r="Z151" i="3"/>
  <c r="A152" i="3"/>
  <c r="B152" i="3" s="1"/>
  <c r="AA151" i="3"/>
  <c r="L39" i="3"/>
  <c r="V39" i="3"/>
  <c r="W39" i="3" s="1"/>
  <c r="AE39" i="3"/>
  <c r="S151" i="3" l="1"/>
  <c r="T150" i="3"/>
  <c r="A153" i="3"/>
  <c r="B153" i="3" s="1"/>
  <c r="AC152" i="3"/>
  <c r="AA152" i="3"/>
  <c r="P152" i="3"/>
  <c r="Q152" i="3" s="1"/>
  <c r="R152" i="3" s="1"/>
  <c r="AD152" i="3"/>
  <c r="Z152" i="3"/>
  <c r="U39" i="3"/>
  <c r="E40" i="3" s="1"/>
  <c r="H40" i="3" s="1"/>
  <c r="AH40" i="3"/>
  <c r="AG40" i="3"/>
  <c r="Y38" i="3"/>
  <c r="D40" i="3" l="1"/>
  <c r="F40" i="3" s="1"/>
  <c r="A154" i="3"/>
  <c r="B154" i="3" s="1"/>
  <c r="P153" i="3"/>
  <c r="Q153" i="3" s="1"/>
  <c r="R153" i="3" s="1"/>
  <c r="AD153" i="3"/>
  <c r="Z153" i="3"/>
  <c r="AA153" i="3"/>
  <c r="AC153" i="3"/>
  <c r="S152" i="3"/>
  <c r="T151" i="3"/>
  <c r="K40" i="3"/>
  <c r="G40" i="3" l="1"/>
  <c r="M40" i="3" s="1"/>
  <c r="N40" i="3" s="1"/>
  <c r="P154" i="3"/>
  <c r="Q154" i="3" s="1"/>
  <c r="R154" i="3" s="1"/>
  <c r="AD154" i="3"/>
  <c r="Z154" i="3"/>
  <c r="AA154" i="3"/>
  <c r="A155" i="3"/>
  <c r="B155" i="3" s="1"/>
  <c r="AC154" i="3"/>
  <c r="S153" i="3"/>
  <c r="T152" i="3"/>
  <c r="V40" i="3"/>
  <c r="AE40" i="3"/>
  <c r="I40" i="3" l="1"/>
  <c r="W40" i="3" s="1"/>
  <c r="J40" i="3"/>
  <c r="L40" i="3" s="1"/>
  <c r="Z155" i="3"/>
  <c r="P155" i="3"/>
  <c r="Q155" i="3" s="1"/>
  <c r="R155" i="3" s="1"/>
  <c r="A156" i="3"/>
  <c r="B156" i="3" s="1"/>
  <c r="AD155" i="3"/>
  <c r="AC155" i="3"/>
  <c r="AA155" i="3"/>
  <c r="T153" i="3"/>
  <c r="S154" i="3"/>
  <c r="U40" i="3" l="1"/>
  <c r="D41" i="3" s="1"/>
  <c r="AG41" i="3"/>
  <c r="AH41" i="3"/>
  <c r="Y39" i="3"/>
  <c r="S155" i="3"/>
  <c r="T154" i="3"/>
  <c r="AA156" i="3"/>
  <c r="A157" i="3"/>
  <c r="B157" i="3" s="1"/>
  <c r="AD156" i="3"/>
  <c r="Z156" i="3"/>
  <c r="AC156" i="3"/>
  <c r="P156" i="3"/>
  <c r="Q156" i="3" s="1"/>
  <c r="R156" i="3" s="1"/>
  <c r="G41" i="3" l="1"/>
  <c r="A158" i="3"/>
  <c r="B158" i="3" s="1"/>
  <c r="AD157" i="3"/>
  <c r="P157" i="3"/>
  <c r="Q157" i="3" s="1"/>
  <c r="R157" i="3" s="1"/>
  <c r="AA157" i="3"/>
  <c r="Z157" i="3"/>
  <c r="AC157" i="3"/>
  <c r="E41" i="3"/>
  <c r="H41" i="3" s="1"/>
  <c r="T155" i="3"/>
  <c r="S156" i="3"/>
  <c r="F41" i="3" l="1"/>
  <c r="S157" i="3"/>
  <c r="T156" i="3"/>
  <c r="A159" i="3"/>
  <c r="B159" i="3" s="1"/>
  <c r="P158" i="3"/>
  <c r="Q158" i="3" s="1"/>
  <c r="R158" i="3" s="1"/>
  <c r="AA158" i="3"/>
  <c r="AC158" i="3"/>
  <c r="Z158" i="3"/>
  <c r="AD158" i="3"/>
  <c r="I41" i="3"/>
  <c r="J41" i="3"/>
  <c r="M41" i="3"/>
  <c r="N41" i="3" s="1"/>
  <c r="K41" i="3"/>
  <c r="V41" i="3" l="1"/>
  <c r="W41" i="3" s="1"/>
  <c r="AE41" i="3"/>
  <c r="L41" i="3"/>
  <c r="A160" i="3"/>
  <c r="B160" i="3" s="1"/>
  <c r="AC159" i="3"/>
  <c r="P159" i="3"/>
  <c r="Q159" i="3" s="1"/>
  <c r="R159" i="3" s="1"/>
  <c r="AD159" i="3"/>
  <c r="Z159" i="3"/>
  <c r="AA159" i="3"/>
  <c r="S158" i="3"/>
  <c r="T157" i="3"/>
  <c r="AA160" i="3" l="1"/>
  <c r="P160" i="3"/>
  <c r="Q160" i="3" s="1"/>
  <c r="R160" i="3" s="1"/>
  <c r="Z160" i="3"/>
  <c r="AC160" i="3"/>
  <c r="AD160" i="3"/>
  <c r="A161" i="3"/>
  <c r="B161" i="3" s="1"/>
  <c r="U41" i="3"/>
  <c r="E42" i="3" s="1"/>
  <c r="H42" i="3" s="1"/>
  <c r="AG42" i="3"/>
  <c r="AH42" i="3"/>
  <c r="Y40" i="3"/>
  <c r="T158" i="3"/>
  <c r="S159" i="3"/>
  <c r="D42" i="3" l="1"/>
  <c r="G42" i="3" s="1"/>
  <c r="Z161" i="3"/>
  <c r="AA161" i="3"/>
  <c r="P161" i="3"/>
  <c r="Q161" i="3" s="1"/>
  <c r="R161" i="3" s="1"/>
  <c r="A162" i="3"/>
  <c r="B162" i="3" s="1"/>
  <c r="AC161" i="3"/>
  <c r="AD161" i="3"/>
  <c r="S160" i="3"/>
  <c r="T159" i="3"/>
  <c r="K42" i="3"/>
  <c r="F42" i="3" l="1"/>
  <c r="AD162" i="3"/>
  <c r="Z162" i="3"/>
  <c r="P162" i="3"/>
  <c r="Q162" i="3" s="1"/>
  <c r="R162" i="3" s="1"/>
  <c r="AC162" i="3"/>
  <c r="AA162" i="3"/>
  <c r="A163" i="3"/>
  <c r="B163" i="3" s="1"/>
  <c r="V42" i="3"/>
  <c r="AE42" i="3"/>
  <c r="S161" i="3"/>
  <c r="T160" i="3"/>
  <c r="I42" i="3"/>
  <c r="J42" i="3"/>
  <c r="M42" i="3"/>
  <c r="N42" i="3" s="1"/>
  <c r="W42" i="3" l="1"/>
  <c r="L42" i="3"/>
  <c r="T161" i="3"/>
  <c r="S162" i="3"/>
  <c r="AD163" i="3"/>
  <c r="A164" i="3"/>
  <c r="B164" i="3" s="1"/>
  <c r="AC163" i="3"/>
  <c r="Z163" i="3"/>
  <c r="P163" i="3"/>
  <c r="Q163" i="3" s="1"/>
  <c r="R163" i="3" s="1"/>
  <c r="AA163" i="3"/>
  <c r="P164" i="3" l="1"/>
  <c r="Q164" i="3" s="1"/>
  <c r="R164" i="3" s="1"/>
  <c r="AA164" i="3"/>
  <c r="AD164" i="3"/>
  <c r="Z164" i="3"/>
  <c r="A165" i="3"/>
  <c r="B165" i="3" s="1"/>
  <c r="AC164" i="3"/>
  <c r="AG43" i="3"/>
  <c r="AH43" i="3"/>
  <c r="U42" i="3"/>
  <c r="E43" i="3" s="1"/>
  <c r="H43" i="3" s="1"/>
  <c r="Y41" i="3"/>
  <c r="S163" i="3"/>
  <c r="T162" i="3"/>
  <c r="K43" i="3" l="1"/>
  <c r="AD165" i="3"/>
  <c r="A166" i="3"/>
  <c r="B166" i="3" s="1"/>
  <c r="AA165" i="3"/>
  <c r="AC165" i="3"/>
  <c r="Z165" i="3"/>
  <c r="P165" i="3"/>
  <c r="Q165" i="3" s="1"/>
  <c r="R165" i="3" s="1"/>
  <c r="D43" i="3"/>
  <c r="S164" i="3"/>
  <c r="T163" i="3"/>
  <c r="A167" i="3" l="1"/>
  <c r="B167" i="3" s="1"/>
  <c r="AA166" i="3"/>
  <c r="AC166" i="3"/>
  <c r="P166" i="3"/>
  <c r="Q166" i="3" s="1"/>
  <c r="R166" i="3" s="1"/>
  <c r="AD166" i="3"/>
  <c r="Z166" i="3"/>
  <c r="T164" i="3"/>
  <c r="S165" i="3"/>
  <c r="V43" i="3"/>
  <c r="AE43" i="3"/>
  <c r="F43" i="3"/>
  <c r="G43" i="3"/>
  <c r="P167" i="3" l="1"/>
  <c r="Q167" i="3" s="1"/>
  <c r="R167" i="3" s="1"/>
  <c r="AA167" i="3"/>
  <c r="AC167" i="3"/>
  <c r="Z167" i="3"/>
  <c r="A168" i="3"/>
  <c r="B168" i="3" s="1"/>
  <c r="AD167" i="3"/>
  <c r="S166" i="3"/>
  <c r="T165" i="3"/>
  <c r="I43" i="3"/>
  <c r="W43" i="3" s="1"/>
  <c r="J43" i="3"/>
  <c r="M43" i="3"/>
  <c r="N43" i="3" s="1"/>
  <c r="A169" i="3" l="1"/>
  <c r="B169" i="3" s="1"/>
  <c r="Z168" i="3"/>
  <c r="P168" i="3"/>
  <c r="Q168" i="3" s="1"/>
  <c r="R168" i="3" s="1"/>
  <c r="AD168" i="3"/>
  <c r="AC168" i="3"/>
  <c r="AA168" i="3"/>
  <c r="L43" i="3"/>
  <c r="T166" i="3"/>
  <c r="S167" i="3"/>
  <c r="AD169" i="3" l="1"/>
  <c r="P169" i="3"/>
  <c r="Q169" i="3" s="1"/>
  <c r="R169" i="3" s="1"/>
  <c r="A170" i="3"/>
  <c r="B170" i="3" s="1"/>
  <c r="Z169" i="3"/>
  <c r="AA169" i="3"/>
  <c r="AC169" i="3"/>
  <c r="AG44" i="3"/>
  <c r="AH44" i="3"/>
  <c r="U43" i="3"/>
  <c r="E44" i="3" s="1"/>
  <c r="H44" i="3" s="1"/>
  <c r="Y42" i="3"/>
  <c r="S168" i="3"/>
  <c r="T167" i="3"/>
  <c r="D44" i="3" l="1"/>
  <c r="F44" i="3" s="1"/>
  <c r="K44" i="3"/>
  <c r="AA170" i="3"/>
  <c r="AC170" i="3"/>
  <c r="P170" i="3"/>
  <c r="Q170" i="3" s="1"/>
  <c r="R170" i="3" s="1"/>
  <c r="A171" i="3"/>
  <c r="B171" i="3" s="1"/>
  <c r="AD170" i="3"/>
  <c r="Z170" i="3"/>
  <c r="T168" i="3"/>
  <c r="S169" i="3"/>
  <c r="G44" i="3" l="1"/>
  <c r="J44" i="3" s="1"/>
  <c r="A172" i="3"/>
  <c r="B172" i="3" s="1"/>
  <c r="AD171" i="3"/>
  <c r="P171" i="3"/>
  <c r="Q171" i="3" s="1"/>
  <c r="R171" i="3" s="1"/>
  <c r="Z171" i="3"/>
  <c r="AA171" i="3"/>
  <c r="AC171" i="3"/>
  <c r="V44" i="3"/>
  <c r="AE44" i="3"/>
  <c r="T169" i="3"/>
  <c r="S170" i="3"/>
  <c r="M44" i="3" l="1"/>
  <c r="N44" i="3" s="1"/>
  <c r="I44" i="3"/>
  <c r="W44" i="3" s="1"/>
  <c r="A173" i="3"/>
  <c r="B173" i="3" s="1"/>
  <c r="AD172" i="3"/>
  <c r="P172" i="3"/>
  <c r="Q172" i="3" s="1"/>
  <c r="R172" i="3" s="1"/>
  <c r="AA172" i="3"/>
  <c r="AC172" i="3"/>
  <c r="Z172" i="3"/>
  <c r="T170" i="3"/>
  <c r="S171" i="3"/>
  <c r="L44" i="3"/>
  <c r="Z173" i="3" l="1"/>
  <c r="P173" i="3"/>
  <c r="Q173" i="3" s="1"/>
  <c r="R173" i="3" s="1"/>
  <c r="AD173" i="3"/>
  <c r="AA173" i="3"/>
  <c r="AC173" i="3"/>
  <c r="A174" i="3"/>
  <c r="B174" i="3" s="1"/>
  <c r="T171" i="3"/>
  <c r="S172" i="3"/>
  <c r="U44" i="3"/>
  <c r="E45" i="3" s="1"/>
  <c r="H45" i="3" s="1"/>
  <c r="AH45" i="3"/>
  <c r="AG45" i="3"/>
  <c r="Y43" i="3"/>
  <c r="D45" i="3" l="1"/>
  <c r="G45" i="3" s="1"/>
  <c r="K45" i="3"/>
  <c r="Z174" i="3"/>
  <c r="A175" i="3"/>
  <c r="B175" i="3" s="1"/>
  <c r="P174" i="3"/>
  <c r="Q174" i="3" s="1"/>
  <c r="R174" i="3" s="1"/>
  <c r="AA174" i="3"/>
  <c r="AC174" i="3"/>
  <c r="S173" i="3"/>
  <c r="T172" i="3"/>
  <c r="F45" i="3" l="1"/>
  <c r="P175" i="3"/>
  <c r="Q175" i="3" s="1"/>
  <c r="R175" i="3" s="1"/>
  <c r="A176" i="3"/>
  <c r="B176" i="3" s="1"/>
  <c r="AD175" i="3"/>
  <c r="AC175" i="3"/>
  <c r="AA175" i="3"/>
  <c r="Z175" i="3"/>
  <c r="I45" i="3"/>
  <c r="J45" i="3"/>
  <c r="M45" i="3"/>
  <c r="N45" i="3" s="1"/>
  <c r="S174" i="3"/>
  <c r="T173" i="3"/>
  <c r="V45" i="3"/>
  <c r="AE45" i="3"/>
  <c r="AD176" i="3" l="1"/>
  <c r="P176" i="3"/>
  <c r="Q176" i="3" s="1"/>
  <c r="R176" i="3" s="1"/>
  <c r="A177" i="3"/>
  <c r="B177" i="3" s="1"/>
  <c r="Z176" i="3"/>
  <c r="AC176" i="3"/>
  <c r="AA176" i="3"/>
  <c r="T174" i="3"/>
  <c r="S175" i="3"/>
  <c r="L45" i="3"/>
  <c r="W45" i="3"/>
  <c r="T175" i="3" l="1"/>
  <c r="S176" i="3"/>
  <c r="P177" i="3"/>
  <c r="Q177" i="3" s="1"/>
  <c r="R177" i="3" s="1"/>
  <c r="AA177" i="3"/>
  <c r="Z177" i="3"/>
  <c r="A178" i="3"/>
  <c r="B178" i="3" s="1"/>
  <c r="AC177" i="3"/>
  <c r="AD177" i="3"/>
  <c r="U45" i="3"/>
  <c r="D46" i="3" s="1"/>
  <c r="AG46" i="3"/>
  <c r="AH46" i="3"/>
  <c r="Y44" i="3"/>
  <c r="E46" i="3" l="1"/>
  <c r="H46" i="3" s="1"/>
  <c r="K46" i="3" s="1"/>
  <c r="G46" i="3"/>
  <c r="P178" i="3"/>
  <c r="Q178" i="3" s="1"/>
  <c r="R178" i="3" s="1"/>
  <c r="AA178" i="3"/>
  <c r="A179" i="3"/>
  <c r="B179" i="3" s="1"/>
  <c r="Z178" i="3"/>
  <c r="AD178" i="3"/>
  <c r="AC178" i="3"/>
  <c r="T176" i="3"/>
  <c r="S177" i="3"/>
  <c r="F46" i="3" l="1"/>
  <c r="P179" i="3"/>
  <c r="Q179" i="3" s="1"/>
  <c r="R179" i="3" s="1"/>
  <c r="A180" i="3"/>
  <c r="B180" i="3" s="1"/>
  <c r="AA179" i="3"/>
  <c r="Z179" i="3"/>
  <c r="AD179" i="3"/>
  <c r="AC179" i="3"/>
  <c r="I46" i="3"/>
  <c r="J46" i="3"/>
  <c r="M46" i="3"/>
  <c r="N46" i="3" s="1"/>
  <c r="V46" i="3"/>
  <c r="AE46" i="3"/>
  <c r="S178" i="3"/>
  <c r="T177" i="3"/>
  <c r="W46" i="3" l="1"/>
  <c r="AC180" i="3"/>
  <c r="A181" i="3"/>
  <c r="B181" i="3" s="1"/>
  <c r="AA180" i="3"/>
  <c r="AD180" i="3"/>
  <c r="Z180" i="3"/>
  <c r="P180" i="3"/>
  <c r="Q180" i="3" s="1"/>
  <c r="R180" i="3" s="1"/>
  <c r="T178" i="3"/>
  <c r="S179" i="3"/>
  <c r="L46" i="3"/>
  <c r="AA181" i="3" l="1"/>
  <c r="Z181" i="3"/>
  <c r="A182" i="3"/>
  <c r="B182" i="3" s="1"/>
  <c r="AD181" i="3"/>
  <c r="AC181" i="3"/>
  <c r="P181" i="3"/>
  <c r="Q181" i="3" s="1"/>
  <c r="R181" i="3" s="1"/>
  <c r="S180" i="3"/>
  <c r="T179" i="3"/>
  <c r="AG47" i="3"/>
  <c r="U46" i="3"/>
  <c r="D47" i="3" s="1"/>
  <c r="AH47" i="3"/>
  <c r="Y45" i="3"/>
  <c r="E47" i="3" l="1"/>
  <c r="H47" i="3" s="1"/>
  <c r="K47" i="3" s="1"/>
  <c r="A183" i="3"/>
  <c r="B183" i="3" s="1"/>
  <c r="AA182" i="3"/>
  <c r="P182" i="3"/>
  <c r="Q182" i="3" s="1"/>
  <c r="R182" i="3" s="1"/>
  <c r="Z182" i="3"/>
  <c r="AD182" i="3"/>
  <c r="AC182" i="3"/>
  <c r="T180" i="3"/>
  <c r="S181" i="3"/>
  <c r="G47" i="3"/>
  <c r="F47" i="3" l="1"/>
  <c r="Z183" i="3"/>
  <c r="AA183" i="3"/>
  <c r="AC183" i="3"/>
  <c r="A184" i="3"/>
  <c r="B184" i="3" s="1"/>
  <c r="P183" i="3"/>
  <c r="Q183" i="3" s="1"/>
  <c r="R183" i="3" s="1"/>
  <c r="AD183" i="3"/>
  <c r="S182" i="3"/>
  <c r="T181" i="3"/>
  <c r="I47" i="3"/>
  <c r="J47" i="3"/>
  <c r="M47" i="3"/>
  <c r="N47" i="3" s="1"/>
  <c r="V47" i="3"/>
  <c r="AE47" i="3"/>
  <c r="W47" i="3" l="1"/>
  <c r="AD184" i="3"/>
  <c r="Z184" i="3"/>
  <c r="P184" i="3"/>
  <c r="Q184" i="3" s="1"/>
  <c r="R184" i="3" s="1"/>
  <c r="AA184" i="3"/>
  <c r="A185" i="3"/>
  <c r="B185" i="3" s="1"/>
  <c r="AC184" i="3"/>
  <c r="L47" i="3"/>
  <c r="S183" i="3"/>
  <c r="T182" i="3"/>
  <c r="AD185" i="3" l="1"/>
  <c r="A186" i="3"/>
  <c r="B186" i="3" s="1"/>
  <c r="AC185" i="3"/>
  <c r="P185" i="3"/>
  <c r="Q185" i="3" s="1"/>
  <c r="R185" i="3" s="1"/>
  <c r="AA185" i="3"/>
  <c r="Z185" i="3"/>
  <c r="AG48" i="3"/>
  <c r="U47" i="3"/>
  <c r="E48" i="3" s="1"/>
  <c r="H48" i="3" s="1"/>
  <c r="AH48" i="3"/>
  <c r="Y46" i="3"/>
  <c r="S184" i="3"/>
  <c r="T183" i="3"/>
  <c r="AD186" i="3" l="1"/>
  <c r="Z186" i="3"/>
  <c r="A187" i="3"/>
  <c r="B187" i="3" s="1"/>
  <c r="P186" i="3"/>
  <c r="Q186" i="3" s="1"/>
  <c r="R186" i="3" s="1"/>
  <c r="AA186" i="3"/>
  <c r="AC186" i="3"/>
  <c r="K48" i="3"/>
  <c r="D48" i="3"/>
  <c r="T184" i="3"/>
  <c r="S185" i="3"/>
  <c r="P187" i="3" l="1"/>
  <c r="Q187" i="3" s="1"/>
  <c r="R187" i="3" s="1"/>
  <c r="AD187" i="3"/>
  <c r="A188" i="3"/>
  <c r="B188" i="3" s="1"/>
  <c r="AA187" i="3"/>
  <c r="AC187" i="3"/>
  <c r="Z187" i="3"/>
  <c r="S186" i="3"/>
  <c r="T185" i="3"/>
  <c r="V48" i="3"/>
  <c r="AE48" i="3"/>
  <c r="F48" i="3"/>
  <c r="G48" i="3"/>
  <c r="S187" i="3" l="1"/>
  <c r="T186" i="3"/>
  <c r="Z188" i="3"/>
  <c r="A189" i="3"/>
  <c r="B189" i="3" s="1"/>
  <c r="AA188" i="3"/>
  <c r="P188" i="3"/>
  <c r="Q188" i="3" s="1"/>
  <c r="R188" i="3" s="1"/>
  <c r="AD188" i="3"/>
  <c r="AC188" i="3"/>
  <c r="I48" i="3"/>
  <c r="W48" i="3" s="1"/>
  <c r="J48" i="3"/>
  <c r="M48" i="3"/>
  <c r="N48" i="3" s="1"/>
  <c r="Z189" i="3" l="1"/>
  <c r="P189" i="3"/>
  <c r="Q189" i="3" s="1"/>
  <c r="R189" i="3" s="1"/>
  <c r="A190" i="3"/>
  <c r="B190" i="3" s="1"/>
  <c r="AC189" i="3"/>
  <c r="AA189" i="3"/>
  <c r="AD189" i="3"/>
  <c r="S188" i="3"/>
  <c r="T187" i="3"/>
  <c r="L48" i="3"/>
  <c r="AC190" i="3" l="1"/>
  <c r="P190" i="3"/>
  <c r="Q190" i="3" s="1"/>
  <c r="R190" i="3" s="1"/>
  <c r="Z190" i="3"/>
  <c r="A191" i="3"/>
  <c r="B191" i="3" s="1"/>
  <c r="AD190" i="3"/>
  <c r="AA190" i="3"/>
  <c r="S189" i="3"/>
  <c r="T188" i="3"/>
  <c r="AH49" i="3"/>
  <c r="U48" i="3"/>
  <c r="E49" i="3" s="1"/>
  <c r="H49" i="3" s="1"/>
  <c r="AG49" i="3"/>
  <c r="Y47" i="3"/>
  <c r="D49" i="3" l="1"/>
  <c r="G49" i="3" s="1"/>
  <c r="K49" i="3"/>
  <c r="Z191" i="3"/>
  <c r="P191" i="3"/>
  <c r="Q191" i="3" s="1"/>
  <c r="R191" i="3" s="1"/>
  <c r="AA191" i="3"/>
  <c r="AC191" i="3"/>
  <c r="A192" i="3"/>
  <c r="B192" i="3" s="1"/>
  <c r="AD191" i="3"/>
  <c r="S190" i="3"/>
  <c r="T189" i="3"/>
  <c r="F49" i="3" l="1"/>
  <c r="P192" i="3"/>
  <c r="Q192" i="3" s="1"/>
  <c r="R192" i="3" s="1"/>
  <c r="Z192" i="3"/>
  <c r="AD192" i="3"/>
  <c r="AA192" i="3"/>
  <c r="A193" i="3"/>
  <c r="B193" i="3" s="1"/>
  <c r="AC192" i="3"/>
  <c r="V49" i="3"/>
  <c r="AE49" i="3"/>
  <c r="I49" i="3"/>
  <c r="J49" i="3"/>
  <c r="M49" i="3"/>
  <c r="N49" i="3" s="1"/>
  <c r="S191" i="3"/>
  <c r="T190" i="3"/>
  <c r="W49" i="3" l="1"/>
  <c r="Z193" i="3"/>
  <c r="AC193" i="3"/>
  <c r="AA193" i="3"/>
  <c r="AD193" i="3"/>
  <c r="P193" i="3"/>
  <c r="Q193" i="3" s="1"/>
  <c r="R193" i="3" s="1"/>
  <c r="A194" i="3"/>
  <c r="B194" i="3" s="1"/>
  <c r="S192" i="3"/>
  <c r="T191" i="3"/>
  <c r="L49" i="3"/>
  <c r="T192" i="3" l="1"/>
  <c r="S193" i="3"/>
  <c r="AD194" i="3"/>
  <c r="P194" i="3"/>
  <c r="Q194" i="3" s="1"/>
  <c r="R194" i="3" s="1"/>
  <c r="AA194" i="3"/>
  <c r="A195" i="3"/>
  <c r="B195" i="3" s="1"/>
  <c r="AC194" i="3"/>
  <c r="Z194" i="3"/>
  <c r="AG50" i="3"/>
  <c r="AH50" i="3"/>
  <c r="U49" i="3"/>
  <c r="D50" i="3" s="1"/>
  <c r="Y48" i="3"/>
  <c r="E50" i="3" l="1"/>
  <c r="H50" i="3" s="1"/>
  <c r="K50" i="3" s="1"/>
  <c r="G50" i="3"/>
  <c r="S194" i="3"/>
  <c r="T193" i="3"/>
  <c r="Z195" i="3"/>
  <c r="AA195" i="3"/>
  <c r="P195" i="3"/>
  <c r="Q195" i="3" s="1"/>
  <c r="R195" i="3" s="1"/>
  <c r="A196" i="3"/>
  <c r="B196" i="3" s="1"/>
  <c r="AC195" i="3"/>
  <c r="AD195" i="3"/>
  <c r="F50" i="3" l="1"/>
  <c r="P196" i="3"/>
  <c r="Q196" i="3" s="1"/>
  <c r="R196" i="3" s="1"/>
  <c r="A197" i="3"/>
  <c r="B197" i="3" s="1"/>
  <c r="Z196" i="3"/>
  <c r="AC196" i="3"/>
  <c r="AA196" i="3"/>
  <c r="AD196" i="3"/>
  <c r="S195" i="3"/>
  <c r="T194" i="3"/>
  <c r="I50" i="3"/>
  <c r="J50" i="3"/>
  <c r="M50" i="3"/>
  <c r="N50" i="3" s="1"/>
  <c r="V50" i="3"/>
  <c r="AE50" i="3"/>
  <c r="L50" i="3" l="1"/>
  <c r="S196" i="3"/>
  <c r="T195" i="3"/>
  <c r="AD197" i="3"/>
  <c r="P197" i="3"/>
  <c r="Q197" i="3" s="1"/>
  <c r="R197" i="3" s="1"/>
  <c r="AA197" i="3"/>
  <c r="A198" i="3"/>
  <c r="B198" i="3" s="1"/>
  <c r="Z197" i="3"/>
  <c r="AC197" i="3"/>
  <c r="W50" i="3"/>
  <c r="P198" i="3" l="1"/>
  <c r="Q198" i="3" s="1"/>
  <c r="R198" i="3" s="1"/>
  <c r="A199" i="3"/>
  <c r="B199" i="3" s="1"/>
  <c r="AA198" i="3"/>
  <c r="Z198" i="3"/>
  <c r="AC198" i="3"/>
  <c r="AD198" i="3"/>
  <c r="U50" i="3"/>
  <c r="D51" i="3" s="1"/>
  <c r="AH51" i="3"/>
  <c r="AG51" i="3"/>
  <c r="Y49" i="3"/>
  <c r="S197" i="3"/>
  <c r="T196" i="3"/>
  <c r="E51" i="3" l="1"/>
  <c r="H51" i="3" s="1"/>
  <c r="K51" i="3" s="1"/>
  <c r="AD199" i="3"/>
  <c r="P199" i="3"/>
  <c r="Q199" i="3" s="1"/>
  <c r="R199" i="3" s="1"/>
  <c r="A200" i="3"/>
  <c r="B200" i="3" s="1"/>
  <c r="AC199" i="3"/>
  <c r="AA199" i="3"/>
  <c r="Z199" i="3"/>
  <c r="G51" i="3"/>
  <c r="T197" i="3"/>
  <c r="S198" i="3"/>
  <c r="F51" i="3" l="1"/>
  <c r="AA200" i="3"/>
  <c r="A201" i="3"/>
  <c r="B201" i="3" s="1"/>
  <c r="AC200" i="3"/>
  <c r="Z200" i="3"/>
  <c r="P200" i="3"/>
  <c r="Q200" i="3" s="1"/>
  <c r="R200" i="3" s="1"/>
  <c r="AD200" i="3"/>
  <c r="V51" i="3"/>
  <c r="AE51" i="3"/>
  <c r="I51" i="3"/>
  <c r="J51" i="3"/>
  <c r="M51" i="3"/>
  <c r="N51" i="3" s="1"/>
  <c r="T198" i="3"/>
  <c r="S199" i="3"/>
  <c r="W51" i="3" l="1"/>
  <c r="A202" i="3"/>
  <c r="B202" i="3" s="1"/>
  <c r="AC201" i="3"/>
  <c r="Z201" i="3"/>
  <c r="AD201" i="3"/>
  <c r="P201" i="3"/>
  <c r="Q201" i="3" s="1"/>
  <c r="R201" i="3" s="1"/>
  <c r="AA201" i="3"/>
  <c r="L51" i="3"/>
  <c r="S200" i="3"/>
  <c r="T199" i="3"/>
  <c r="AD202" i="3" l="1"/>
  <c r="P202" i="3"/>
  <c r="Q202" i="3" s="1"/>
  <c r="R202" i="3" s="1"/>
  <c r="AA202" i="3"/>
  <c r="AC202" i="3"/>
  <c r="Z202" i="3"/>
  <c r="A203" i="3"/>
  <c r="B203" i="3" s="1"/>
  <c r="AH52" i="3"/>
  <c r="AG52" i="3"/>
  <c r="U51" i="3"/>
  <c r="E52" i="3" s="1"/>
  <c r="H52" i="3" s="1"/>
  <c r="Y50" i="3"/>
  <c r="S201" i="3"/>
  <c r="T200" i="3"/>
  <c r="D52" i="3" l="1"/>
  <c r="G52" i="3" s="1"/>
  <c r="K52" i="3"/>
  <c r="Z203" i="3"/>
  <c r="P203" i="3"/>
  <c r="Q203" i="3" s="1"/>
  <c r="R203" i="3" s="1"/>
  <c r="AD203" i="3"/>
  <c r="AA203" i="3"/>
  <c r="AC203" i="3"/>
  <c r="S202" i="3"/>
  <c r="T201" i="3"/>
  <c r="F52" i="3" l="1"/>
  <c r="S203" i="3"/>
  <c r="T202" i="3"/>
  <c r="V52" i="3"/>
  <c r="AE52" i="3"/>
  <c r="I52" i="3"/>
  <c r="J52" i="3"/>
  <c r="M52" i="3"/>
  <c r="N52" i="3" s="1"/>
  <c r="T203" i="3" l="1"/>
  <c r="L52" i="3"/>
  <c r="W52" i="3"/>
  <c r="AH53" i="3" l="1"/>
  <c r="AG53" i="3"/>
  <c r="U52" i="3"/>
  <c r="E53" i="3" s="1"/>
  <c r="H53" i="3" s="1"/>
  <c r="Y51" i="3"/>
  <c r="K53" i="3" l="1"/>
  <c r="D53" i="3"/>
  <c r="V53" i="3" l="1"/>
  <c r="AE53" i="3"/>
  <c r="F53" i="3"/>
  <c r="G53" i="3"/>
  <c r="I53" i="3" l="1"/>
  <c r="W53" i="3" s="1"/>
  <c r="J53" i="3"/>
  <c r="M53" i="3"/>
  <c r="N53" i="3" s="1"/>
  <c r="L53" i="3" l="1"/>
  <c r="AH54" i="3" l="1"/>
  <c r="AG54" i="3"/>
  <c r="U53" i="3"/>
  <c r="D54" i="3" s="1"/>
  <c r="Y52" i="3"/>
  <c r="G54" i="3" l="1"/>
  <c r="E54" i="3"/>
  <c r="H54" i="3" s="1"/>
  <c r="I54" i="3" l="1"/>
  <c r="J54" i="3"/>
  <c r="M54" i="3"/>
  <c r="N54" i="3" s="1"/>
  <c r="F54" i="3"/>
  <c r="K54" i="3"/>
  <c r="L54" i="3" l="1"/>
  <c r="V54" i="3"/>
  <c r="W54" i="3" s="1"/>
  <c r="AE54" i="3"/>
  <c r="U54" i="3" l="1"/>
  <c r="D55" i="3" s="1"/>
  <c r="AG55" i="3"/>
  <c r="AH55" i="3"/>
  <c r="Y53" i="3"/>
  <c r="E55" i="3" l="1"/>
  <c r="H55" i="3" s="1"/>
  <c r="K55" i="3" s="1"/>
  <c r="G55" i="3"/>
  <c r="F55" i="3" l="1"/>
  <c r="V55" i="3"/>
  <c r="AE55" i="3"/>
  <c r="I55" i="3"/>
  <c r="J55" i="3"/>
  <c r="M55" i="3"/>
  <c r="N55" i="3" s="1"/>
  <c r="W55" i="3" l="1"/>
  <c r="L55" i="3"/>
  <c r="AH56" i="3" l="1"/>
  <c r="U55" i="3"/>
  <c r="D56" i="3" s="1"/>
  <c r="AG56" i="3"/>
  <c r="Y54" i="3"/>
  <c r="E56" i="3" l="1"/>
  <c r="H56" i="3" s="1"/>
  <c r="K56" i="3" s="1"/>
  <c r="G56" i="3"/>
  <c r="F56" i="3" l="1"/>
  <c r="I56" i="3"/>
  <c r="J56" i="3"/>
  <c r="M56" i="3"/>
  <c r="N56" i="3" s="1"/>
  <c r="V56" i="3"/>
  <c r="AE56" i="3"/>
  <c r="W56" i="3" l="1"/>
  <c r="L56" i="3"/>
  <c r="AG57" i="3" l="1"/>
  <c r="U56" i="3"/>
  <c r="D57" i="3" s="1"/>
  <c r="AH57" i="3"/>
  <c r="Y55" i="3"/>
  <c r="E57" i="3" l="1"/>
  <c r="H57" i="3" s="1"/>
  <c r="K57" i="3" s="1"/>
  <c r="G57" i="3"/>
  <c r="F57" i="3" l="1"/>
  <c r="I57" i="3"/>
  <c r="J57" i="3"/>
  <c r="M57" i="3"/>
  <c r="N57" i="3" s="1"/>
  <c r="V57" i="3"/>
  <c r="AE57" i="3"/>
  <c r="W57" i="3" l="1"/>
  <c r="L57" i="3"/>
  <c r="U57" i="3" l="1"/>
  <c r="D58" i="3" s="1"/>
  <c r="AH58" i="3"/>
  <c r="AG58" i="3"/>
  <c r="Y56" i="3"/>
  <c r="E58" i="3" l="1"/>
  <c r="H58" i="3" s="1"/>
  <c r="K58" i="3" s="1"/>
  <c r="G58" i="3"/>
  <c r="F58" i="3" l="1"/>
  <c r="V58" i="3"/>
  <c r="AE58" i="3"/>
  <c r="I58" i="3"/>
  <c r="J58" i="3"/>
  <c r="M58" i="3"/>
  <c r="N58" i="3" s="1"/>
  <c r="W58" i="3" l="1"/>
  <c r="L58" i="3"/>
  <c r="AG59" i="3" l="1"/>
  <c r="U58" i="3"/>
  <c r="E59" i="3" s="1"/>
  <c r="H59" i="3" s="1"/>
  <c r="AH59" i="3"/>
  <c r="Y57" i="3"/>
  <c r="D59" i="3" l="1"/>
  <c r="F59" i="3" s="1"/>
  <c r="K59" i="3"/>
  <c r="G59" i="3" l="1"/>
  <c r="M59" i="3" s="1"/>
  <c r="N59" i="3" s="1"/>
  <c r="V59" i="3"/>
  <c r="AE59" i="3"/>
  <c r="I59" i="3" l="1"/>
  <c r="W59" i="3" s="1"/>
  <c r="J59" i="3"/>
  <c r="L59" i="3" s="1"/>
  <c r="AH60" i="3" l="1"/>
  <c r="U59" i="3"/>
  <c r="D60" i="3" s="1"/>
  <c r="AG60" i="3"/>
  <c r="Y58" i="3"/>
  <c r="E60" i="3" l="1"/>
  <c r="H60" i="3" s="1"/>
  <c r="K60" i="3" s="1"/>
  <c r="G60" i="3"/>
  <c r="F60" i="3" l="1"/>
  <c r="I60" i="3"/>
  <c r="J60" i="3"/>
  <c r="M60" i="3"/>
  <c r="N60" i="3" s="1"/>
  <c r="V60" i="3"/>
  <c r="AE60" i="3"/>
  <c r="W60" i="3" l="1"/>
  <c r="L60" i="3"/>
  <c r="AG61" i="3" l="1"/>
  <c r="U60" i="3"/>
  <c r="D61" i="3" s="1"/>
  <c r="AH61" i="3"/>
  <c r="Y59" i="3"/>
  <c r="G61" i="3" l="1"/>
  <c r="E61" i="3"/>
  <c r="H61" i="3" s="1"/>
  <c r="F61" i="3" l="1"/>
  <c r="I61" i="3"/>
  <c r="J61" i="3"/>
  <c r="M61" i="3"/>
  <c r="N61" i="3" s="1"/>
  <c r="K61" i="3"/>
  <c r="V61" i="3" l="1"/>
  <c r="W61" i="3" s="1"/>
  <c r="AE61" i="3"/>
  <c r="L61" i="3"/>
  <c r="AG62" i="3" l="1"/>
  <c r="U61" i="3"/>
  <c r="D62" i="3" s="1"/>
  <c r="AH62" i="3"/>
  <c r="Y60" i="3"/>
  <c r="G62" i="3" l="1"/>
  <c r="E62" i="3"/>
  <c r="H62" i="3" s="1"/>
  <c r="F62" i="3" l="1"/>
  <c r="I62" i="3"/>
  <c r="J62" i="3"/>
  <c r="M62" i="3"/>
  <c r="N62" i="3" s="1"/>
  <c r="K62" i="3"/>
  <c r="V62" i="3" l="1"/>
  <c r="W62" i="3" s="1"/>
  <c r="AE62" i="3"/>
  <c r="L62" i="3"/>
  <c r="U62" i="3" l="1"/>
  <c r="E63" i="3" s="1"/>
  <c r="H63" i="3" s="1"/>
  <c r="AG63" i="3"/>
  <c r="AH63" i="3"/>
  <c r="Y61" i="3"/>
  <c r="D63" i="3" l="1"/>
  <c r="G63" i="3" s="1"/>
  <c r="K63" i="3"/>
  <c r="F63" i="3" l="1"/>
  <c r="I63" i="3"/>
  <c r="J63" i="3"/>
  <c r="M63" i="3"/>
  <c r="N63" i="3" s="1"/>
  <c r="V63" i="3"/>
  <c r="AE63" i="3"/>
  <c r="W63" i="3" l="1"/>
  <c r="L63" i="3"/>
  <c r="U63" i="3" l="1"/>
  <c r="E64" i="3" s="1"/>
  <c r="H64" i="3" s="1"/>
  <c r="AH64" i="3"/>
  <c r="AG64" i="3"/>
  <c r="Y62" i="3"/>
  <c r="D64" i="3" l="1"/>
  <c r="G64" i="3" s="1"/>
  <c r="K64" i="3"/>
  <c r="F64" i="3" l="1"/>
  <c r="V64" i="3"/>
  <c r="AE64" i="3"/>
  <c r="I64" i="3"/>
  <c r="J64" i="3"/>
  <c r="M64" i="3"/>
  <c r="N64" i="3" s="1"/>
  <c r="W64" i="3" l="1"/>
  <c r="L64" i="3"/>
  <c r="U64" i="3" l="1"/>
  <c r="E65" i="3" s="1"/>
  <c r="H65" i="3" s="1"/>
  <c r="AH65" i="3"/>
  <c r="AG65" i="3"/>
  <c r="Y63" i="3"/>
  <c r="D65" i="3" l="1"/>
  <c r="G65" i="3" s="1"/>
  <c r="K65" i="3"/>
  <c r="F65" i="3" l="1"/>
  <c r="V65" i="3"/>
  <c r="AE65" i="3"/>
  <c r="I65" i="3"/>
  <c r="J65" i="3"/>
  <c r="M65" i="3"/>
  <c r="N65" i="3" s="1"/>
  <c r="W65" i="3" l="1"/>
  <c r="L65" i="3"/>
  <c r="U65" i="3" l="1"/>
  <c r="D66" i="3" s="1"/>
  <c r="AH66" i="3"/>
  <c r="AG66" i="3"/>
  <c r="Y64" i="3"/>
  <c r="E66" i="3" l="1"/>
  <c r="H66" i="3" s="1"/>
  <c r="K66" i="3" s="1"/>
  <c r="G66" i="3"/>
  <c r="F66" i="3" l="1"/>
  <c r="I66" i="3"/>
  <c r="J66" i="3"/>
  <c r="M66" i="3"/>
  <c r="N66" i="3" s="1"/>
  <c r="V66" i="3"/>
  <c r="AE66" i="3"/>
  <c r="W66" i="3" l="1"/>
  <c r="L66" i="3"/>
  <c r="U66" i="3" l="1"/>
  <c r="D67" i="3" s="1"/>
  <c r="AH67" i="3"/>
  <c r="AG67" i="3"/>
  <c r="Y65" i="3"/>
  <c r="E67" i="3" l="1"/>
  <c r="H67" i="3" s="1"/>
  <c r="K67" i="3" s="1"/>
  <c r="G67" i="3"/>
  <c r="F67" i="3" l="1"/>
  <c r="I67" i="3"/>
  <c r="J67" i="3"/>
  <c r="M67" i="3"/>
  <c r="N67" i="3" s="1"/>
  <c r="V67" i="3"/>
  <c r="AE67" i="3"/>
  <c r="W67" i="3" l="1"/>
  <c r="L67" i="3"/>
  <c r="U67" i="3" l="1"/>
  <c r="D68" i="3" s="1"/>
  <c r="AH68" i="3"/>
  <c r="AG68" i="3"/>
  <c r="Y66" i="3"/>
  <c r="E68" i="3" l="1"/>
  <c r="H68" i="3" s="1"/>
  <c r="K68" i="3" s="1"/>
  <c r="G68" i="3"/>
  <c r="F68" i="3" l="1"/>
  <c r="I68" i="3"/>
  <c r="J68" i="3"/>
  <c r="M68" i="3"/>
  <c r="N68" i="3" s="1"/>
  <c r="V68" i="3"/>
  <c r="AE68" i="3"/>
  <c r="W68" i="3" l="1"/>
  <c r="L68" i="3"/>
  <c r="U68" i="3" l="1"/>
  <c r="D69" i="3" s="1"/>
  <c r="AH69" i="3"/>
  <c r="AG69" i="3"/>
  <c r="Y67" i="3"/>
  <c r="E69" i="3" l="1"/>
  <c r="H69" i="3" s="1"/>
  <c r="K69" i="3" s="1"/>
  <c r="G69" i="3"/>
  <c r="F69" i="3" l="1"/>
  <c r="I69" i="3"/>
  <c r="J69" i="3"/>
  <c r="M69" i="3"/>
  <c r="N69" i="3" s="1"/>
  <c r="V69" i="3"/>
  <c r="AE69" i="3"/>
  <c r="W69" i="3" l="1"/>
  <c r="L69" i="3"/>
  <c r="AH70" i="3" l="1"/>
  <c r="U69" i="3"/>
  <c r="E70" i="3" s="1"/>
  <c r="H70" i="3" s="1"/>
  <c r="AG70" i="3"/>
  <c r="Y68" i="3"/>
  <c r="D70" i="3" l="1"/>
  <c r="G70" i="3" s="1"/>
  <c r="K70" i="3"/>
  <c r="F70" i="3" l="1"/>
  <c r="I70" i="3"/>
  <c r="J70" i="3"/>
  <c r="M70" i="3"/>
  <c r="N70" i="3" s="1"/>
  <c r="V70" i="3"/>
  <c r="AE70" i="3"/>
  <c r="W70" i="3" l="1"/>
  <c r="L70" i="3"/>
  <c r="AG71" i="3" l="1"/>
  <c r="AH71" i="3"/>
  <c r="U70" i="3"/>
  <c r="E71" i="3" s="1"/>
  <c r="H71" i="3" s="1"/>
  <c r="Y69" i="3"/>
  <c r="D71" i="3" l="1"/>
  <c r="G71" i="3" s="1"/>
  <c r="K71" i="3"/>
  <c r="F71" i="3" l="1"/>
  <c r="I71" i="3"/>
  <c r="J71" i="3"/>
  <c r="M71" i="3"/>
  <c r="N71" i="3" s="1"/>
  <c r="V71" i="3"/>
  <c r="AE71" i="3"/>
  <c r="W71" i="3" l="1"/>
  <c r="L71" i="3"/>
  <c r="AH72" i="3" l="1"/>
  <c r="U71" i="3"/>
  <c r="E72" i="3" s="1"/>
  <c r="H72" i="3" s="1"/>
  <c r="AG72" i="3"/>
  <c r="Y70" i="3"/>
  <c r="D72" i="3" l="1"/>
  <c r="F72" i="3" s="1"/>
  <c r="K72" i="3"/>
  <c r="G72" i="3" l="1"/>
  <c r="M72" i="3" s="1"/>
  <c r="N72" i="3" s="1"/>
  <c r="V72" i="3"/>
  <c r="AE72" i="3"/>
  <c r="I72" i="3" l="1"/>
  <c r="W72" i="3" s="1"/>
  <c r="J72" i="3"/>
  <c r="L72" i="3" s="1"/>
  <c r="U72" i="3" l="1"/>
  <c r="D73" i="3" s="1"/>
  <c r="AG73" i="3"/>
  <c r="AH73" i="3"/>
  <c r="Y71" i="3"/>
  <c r="E73" i="3" l="1"/>
  <c r="H73" i="3" s="1"/>
  <c r="K73" i="3" s="1"/>
  <c r="G73" i="3"/>
  <c r="F73" i="3" l="1"/>
  <c r="I73" i="3"/>
  <c r="J73" i="3"/>
  <c r="M73" i="3"/>
  <c r="N73" i="3" s="1"/>
  <c r="V73" i="3"/>
  <c r="AE73" i="3"/>
  <c r="W73" i="3" l="1"/>
  <c r="L73" i="3"/>
  <c r="AG74" i="3" l="1"/>
  <c r="AH74" i="3"/>
  <c r="U73" i="3"/>
  <c r="D74" i="3" s="1"/>
  <c r="Y72" i="3"/>
  <c r="G74" i="3" l="1"/>
  <c r="E74" i="3"/>
  <c r="H74" i="3" s="1"/>
  <c r="I74" i="3" l="1"/>
  <c r="J74" i="3"/>
  <c r="AD74" i="3" s="1"/>
  <c r="M74" i="3"/>
  <c r="N74" i="3" s="1"/>
  <c r="K74" i="3"/>
  <c r="F74" i="3"/>
  <c r="V74" i="3" l="1"/>
  <c r="W74" i="3" s="1"/>
  <c r="AE74" i="3"/>
  <c r="L74" i="3"/>
  <c r="AG75" i="3" l="1"/>
  <c r="U74" i="3"/>
  <c r="E75" i="3" s="1"/>
  <c r="H75" i="3" s="1"/>
  <c r="AH75" i="3"/>
  <c r="Y73" i="3"/>
  <c r="K75" i="3" l="1"/>
  <c r="D75" i="3"/>
  <c r="V75" i="3" l="1"/>
  <c r="AE75" i="3"/>
  <c r="F75" i="3"/>
  <c r="G75" i="3"/>
  <c r="I75" i="3" l="1"/>
  <c r="W75" i="3" s="1"/>
  <c r="J75" i="3"/>
  <c r="M75" i="3"/>
  <c r="N75" i="3" s="1"/>
  <c r="L75" i="3" l="1"/>
  <c r="U75" i="3" l="1"/>
  <c r="E76" i="3" s="1"/>
  <c r="H76" i="3" s="1"/>
  <c r="AH76" i="3"/>
  <c r="AG76" i="3"/>
  <c r="Y74" i="3"/>
  <c r="D76" i="3" l="1"/>
  <c r="F76" i="3" s="1"/>
  <c r="K76" i="3"/>
  <c r="G76" i="3" l="1"/>
  <c r="I76" i="3" s="1"/>
  <c r="V76" i="3"/>
  <c r="AE76" i="3"/>
  <c r="J76" i="3" l="1"/>
  <c r="L76" i="3" s="1"/>
  <c r="M76" i="3"/>
  <c r="N76" i="3" s="1"/>
  <c r="W76" i="3"/>
  <c r="U76" i="3" l="1"/>
  <c r="D77" i="3" s="1"/>
  <c r="AH77" i="3"/>
  <c r="AG77" i="3"/>
  <c r="Y75" i="3"/>
  <c r="E77" i="3" l="1"/>
  <c r="H77" i="3" s="1"/>
  <c r="K77" i="3" s="1"/>
  <c r="G77" i="3"/>
  <c r="F77" i="3" l="1"/>
  <c r="I77" i="3"/>
  <c r="J77" i="3"/>
  <c r="M77" i="3"/>
  <c r="N77" i="3" s="1"/>
  <c r="V77" i="3"/>
  <c r="AE77" i="3"/>
  <c r="W77" i="3" l="1"/>
  <c r="L77" i="3"/>
  <c r="AH78" i="3" l="1"/>
  <c r="U77" i="3"/>
  <c r="D78" i="3" s="1"/>
  <c r="AG78" i="3"/>
  <c r="Y76" i="3"/>
  <c r="E78" i="3" l="1"/>
  <c r="H78" i="3" s="1"/>
  <c r="K78" i="3" s="1"/>
  <c r="G78" i="3"/>
  <c r="F78" i="3" l="1"/>
  <c r="I78" i="3"/>
  <c r="J78" i="3"/>
  <c r="M78" i="3"/>
  <c r="N78" i="3" s="1"/>
  <c r="V78" i="3"/>
  <c r="AE78" i="3"/>
  <c r="W78" i="3" l="1"/>
  <c r="L78" i="3"/>
  <c r="U78" i="3" l="1"/>
  <c r="E79" i="3" s="1"/>
  <c r="H79" i="3" s="1"/>
  <c r="AH79" i="3"/>
  <c r="AG79" i="3"/>
  <c r="Y77" i="3"/>
  <c r="D79" i="3" l="1"/>
  <c r="G79" i="3" s="1"/>
  <c r="K79" i="3"/>
  <c r="F79" i="3" l="1"/>
  <c r="I79" i="3"/>
  <c r="J79" i="3"/>
  <c r="M79" i="3"/>
  <c r="N79" i="3" s="1"/>
  <c r="V79" i="3"/>
  <c r="AE79" i="3"/>
  <c r="W79" i="3" l="1"/>
  <c r="L79" i="3"/>
  <c r="AH80" i="3" l="1"/>
  <c r="AG80" i="3"/>
  <c r="U79" i="3"/>
  <c r="E80" i="3" s="1"/>
  <c r="H80" i="3" s="1"/>
  <c r="Y78" i="3"/>
  <c r="D80" i="3" l="1"/>
  <c r="F80" i="3" s="1"/>
  <c r="K80" i="3"/>
  <c r="G80" i="3" l="1"/>
  <c r="I80" i="3" s="1"/>
  <c r="V80" i="3"/>
  <c r="AE80" i="3"/>
  <c r="J80" i="3" l="1"/>
  <c r="L80" i="3" s="1"/>
  <c r="M80" i="3"/>
  <c r="N80" i="3" s="1"/>
  <c r="W80" i="3"/>
  <c r="U80" i="3" l="1"/>
  <c r="E81" i="3" s="1"/>
  <c r="H81" i="3" s="1"/>
  <c r="AG81" i="3"/>
  <c r="AH81" i="3"/>
  <c r="Y79" i="3"/>
  <c r="D81" i="3" l="1"/>
  <c r="G81" i="3" s="1"/>
  <c r="K81" i="3"/>
  <c r="F81" i="3" l="1"/>
  <c r="I81" i="3"/>
  <c r="J81" i="3"/>
  <c r="M81" i="3"/>
  <c r="N81" i="3" s="1"/>
  <c r="V81" i="3"/>
  <c r="AE81" i="3"/>
  <c r="W81" i="3" l="1"/>
  <c r="L81" i="3"/>
  <c r="AH82" i="3" l="1"/>
  <c r="AG82" i="3"/>
  <c r="U81" i="3"/>
  <c r="E82" i="3" s="1"/>
  <c r="H82" i="3" s="1"/>
  <c r="Y80" i="3"/>
  <c r="D82" i="3" l="1"/>
  <c r="G82" i="3" s="1"/>
  <c r="K82" i="3"/>
  <c r="F82" i="3" l="1"/>
  <c r="I82" i="3"/>
  <c r="J82" i="3"/>
  <c r="M82" i="3"/>
  <c r="N82" i="3" s="1"/>
  <c r="V82" i="3"/>
  <c r="AE82" i="3"/>
  <c r="W82" i="3" l="1"/>
  <c r="L82" i="3"/>
  <c r="AG83" i="3" l="1"/>
  <c r="U82" i="3"/>
  <c r="D83" i="3" s="1"/>
  <c r="AH83" i="3"/>
  <c r="Y81" i="3"/>
  <c r="E83" i="3" l="1"/>
  <c r="H83" i="3" s="1"/>
  <c r="K83" i="3" s="1"/>
  <c r="G83" i="3"/>
  <c r="F83" i="3" l="1"/>
  <c r="I83" i="3"/>
  <c r="J83" i="3"/>
  <c r="M83" i="3"/>
  <c r="N83" i="3" s="1"/>
  <c r="V83" i="3"/>
  <c r="AE83" i="3"/>
  <c r="W83" i="3" l="1"/>
  <c r="L83" i="3"/>
  <c r="AG84" i="3" l="1"/>
  <c r="AH84" i="3"/>
  <c r="U83" i="3"/>
  <c r="D84" i="3" s="1"/>
  <c r="Y82" i="3"/>
  <c r="G84" i="3" l="1"/>
  <c r="E84" i="3"/>
  <c r="H84" i="3" s="1"/>
  <c r="K84" i="3" l="1"/>
  <c r="I84" i="3"/>
  <c r="J84" i="3"/>
  <c r="M84" i="3"/>
  <c r="N84" i="3" s="1"/>
  <c r="F84" i="3"/>
  <c r="L84" i="3" l="1"/>
  <c r="V84" i="3"/>
  <c r="W84" i="3" s="1"/>
  <c r="AE84" i="3"/>
  <c r="AH85" i="3" l="1"/>
  <c r="AG85" i="3"/>
  <c r="U84" i="3"/>
  <c r="D85" i="3" s="1"/>
  <c r="Y83" i="3"/>
  <c r="E85" i="3" l="1"/>
  <c r="H85" i="3" s="1"/>
  <c r="K85" i="3" s="1"/>
  <c r="G85" i="3"/>
  <c r="F85" i="3" l="1"/>
  <c r="I85" i="3"/>
  <c r="J85" i="3"/>
  <c r="M85" i="3"/>
  <c r="N85" i="3" s="1"/>
  <c r="V85" i="3"/>
  <c r="AE85" i="3"/>
  <c r="W85" i="3" l="1"/>
  <c r="L85" i="3"/>
  <c r="AH86" i="3" l="1"/>
  <c r="AG86" i="3"/>
  <c r="U85" i="3"/>
  <c r="E86" i="3" s="1"/>
  <c r="H86" i="3" s="1"/>
  <c r="Y84" i="3"/>
  <c r="D86" i="3" l="1"/>
  <c r="F86" i="3" s="1"/>
  <c r="K86" i="3"/>
  <c r="G86" i="3" l="1"/>
  <c r="M86" i="3" s="1"/>
  <c r="N86" i="3" s="1"/>
  <c r="V86" i="3"/>
  <c r="AE86" i="3"/>
  <c r="I86" i="3" l="1"/>
  <c r="W86" i="3" s="1"/>
  <c r="J86" i="3"/>
  <c r="L86" i="3" s="1"/>
  <c r="U86" i="3" l="1"/>
  <c r="E87" i="3" s="1"/>
  <c r="H87" i="3" s="1"/>
  <c r="AH87" i="3"/>
  <c r="AG87" i="3"/>
  <c r="Y85" i="3"/>
  <c r="D87" i="3" l="1"/>
  <c r="G87" i="3" s="1"/>
  <c r="K87" i="3"/>
  <c r="F87" i="3" l="1"/>
  <c r="V87" i="3"/>
  <c r="AE87" i="3"/>
  <c r="I87" i="3"/>
  <c r="J87" i="3"/>
  <c r="M87" i="3"/>
  <c r="N87" i="3" s="1"/>
  <c r="L87" i="3" l="1"/>
  <c r="W87" i="3"/>
  <c r="U87" i="3" l="1"/>
  <c r="E88" i="3" s="1"/>
  <c r="H88" i="3" s="1"/>
  <c r="AG88" i="3"/>
  <c r="AH88" i="3"/>
  <c r="Y86" i="3"/>
  <c r="D88" i="3" l="1"/>
  <c r="G88" i="3" s="1"/>
  <c r="K88" i="3"/>
  <c r="F88" i="3" l="1"/>
  <c r="I88" i="3"/>
  <c r="J88" i="3"/>
  <c r="M88" i="3"/>
  <c r="N88" i="3" s="1"/>
  <c r="V88" i="3"/>
  <c r="AE88" i="3"/>
  <c r="W88" i="3" l="1"/>
  <c r="L88" i="3"/>
  <c r="AH89" i="3" l="1"/>
  <c r="U88" i="3"/>
  <c r="E89" i="3" s="1"/>
  <c r="H89" i="3" s="1"/>
  <c r="AG89" i="3"/>
  <c r="Y87" i="3"/>
  <c r="K89" i="3" l="1"/>
  <c r="D89" i="3"/>
  <c r="V89" i="3" l="1"/>
  <c r="AE89" i="3"/>
  <c r="F89" i="3"/>
  <c r="G89" i="3"/>
  <c r="I89" i="3" l="1"/>
  <c r="W89" i="3" s="1"/>
  <c r="J89" i="3"/>
  <c r="M89" i="3"/>
  <c r="N89" i="3" s="1"/>
  <c r="L89" i="3" l="1"/>
  <c r="U89" i="3" l="1"/>
  <c r="D90" i="3" s="1"/>
  <c r="AH90" i="3"/>
  <c r="AG90" i="3"/>
  <c r="Y88" i="3"/>
  <c r="G90" i="3" l="1"/>
  <c r="E90" i="3"/>
  <c r="H90" i="3" s="1"/>
  <c r="F90" i="3" l="1"/>
  <c r="I90" i="3"/>
  <c r="J90" i="3"/>
  <c r="M90" i="3"/>
  <c r="N90" i="3" s="1"/>
  <c r="K90" i="3"/>
  <c r="V90" i="3" l="1"/>
  <c r="W90" i="3" s="1"/>
  <c r="AE90" i="3"/>
  <c r="L90" i="3"/>
  <c r="AG91" i="3" l="1"/>
  <c r="AH91" i="3"/>
  <c r="U90" i="3"/>
  <c r="D91" i="3" s="1"/>
  <c r="Y89" i="3"/>
  <c r="G91" i="3" l="1"/>
  <c r="E91" i="3"/>
  <c r="H91" i="3" s="1"/>
  <c r="F91" i="3" l="1"/>
  <c r="I91" i="3"/>
  <c r="J91" i="3"/>
  <c r="M91" i="3"/>
  <c r="N91" i="3" s="1"/>
  <c r="K91" i="3"/>
  <c r="V91" i="3" l="1"/>
  <c r="W91" i="3" s="1"/>
  <c r="AE91" i="3"/>
  <c r="L91" i="3"/>
  <c r="AH92" i="3" l="1"/>
  <c r="AG92" i="3"/>
  <c r="U91" i="3"/>
  <c r="D92" i="3" s="1"/>
  <c r="Y90" i="3"/>
  <c r="G92" i="3" l="1"/>
  <c r="E92" i="3"/>
  <c r="H92" i="3" s="1"/>
  <c r="F92" i="3" l="1"/>
  <c r="I92" i="3"/>
  <c r="J92" i="3"/>
  <c r="M92" i="3"/>
  <c r="N92" i="3" s="1"/>
  <c r="K92" i="3"/>
  <c r="V92" i="3" l="1"/>
  <c r="W92" i="3" s="1"/>
  <c r="AE92" i="3"/>
  <c r="L92" i="3"/>
  <c r="U92" i="3" l="1"/>
  <c r="D93" i="3" s="1"/>
  <c r="AH93" i="3"/>
  <c r="AG93" i="3"/>
  <c r="Y91" i="3"/>
  <c r="E93" i="3" l="1"/>
  <c r="H93" i="3" s="1"/>
  <c r="K93" i="3" s="1"/>
  <c r="G93" i="3"/>
  <c r="F93" i="3" l="1"/>
  <c r="I93" i="3"/>
  <c r="J93" i="3"/>
  <c r="M93" i="3"/>
  <c r="N93" i="3" s="1"/>
  <c r="V93" i="3"/>
  <c r="AE93" i="3"/>
  <c r="W93" i="3" l="1"/>
  <c r="L93" i="3"/>
  <c r="AG94" i="3" l="1"/>
  <c r="AH94" i="3"/>
  <c r="U93" i="3"/>
  <c r="D94" i="3" s="1"/>
  <c r="Y92" i="3"/>
  <c r="E94" i="3" l="1"/>
  <c r="H94" i="3" s="1"/>
  <c r="K94" i="3" s="1"/>
  <c r="G94" i="3"/>
  <c r="F94" i="3" l="1"/>
  <c r="I94" i="3"/>
  <c r="J94" i="3"/>
  <c r="M94" i="3"/>
  <c r="N94" i="3" s="1"/>
  <c r="V94" i="3"/>
  <c r="AE94" i="3"/>
  <c r="L94" i="3" l="1"/>
  <c r="W94" i="3"/>
  <c r="U94" i="3" l="1"/>
  <c r="D95" i="3" s="1"/>
  <c r="AG95" i="3"/>
  <c r="AH95" i="3"/>
  <c r="Y93" i="3"/>
  <c r="E95" i="3" l="1"/>
  <c r="H95" i="3" s="1"/>
  <c r="K95" i="3" s="1"/>
  <c r="G95" i="3"/>
  <c r="F95" i="3" l="1"/>
  <c r="I95" i="3"/>
  <c r="J95" i="3"/>
  <c r="M95" i="3"/>
  <c r="N95" i="3" s="1"/>
  <c r="V95" i="3"/>
  <c r="AE95" i="3"/>
  <c r="W95" i="3" l="1"/>
  <c r="L95" i="3"/>
  <c r="AG96" i="3" l="1"/>
  <c r="AH96" i="3"/>
  <c r="U95" i="3"/>
  <c r="D96" i="3" s="1"/>
  <c r="Y94" i="3"/>
  <c r="G96" i="3" l="1"/>
  <c r="E96" i="3"/>
  <c r="H96" i="3" s="1"/>
  <c r="F96" i="3" l="1"/>
  <c r="I96" i="3"/>
  <c r="J96" i="3"/>
  <c r="M96" i="3"/>
  <c r="N96" i="3" s="1"/>
  <c r="K96" i="3"/>
  <c r="L96" i="3" l="1"/>
  <c r="V96" i="3"/>
  <c r="W96" i="3" s="1"/>
  <c r="AE96" i="3"/>
  <c r="AG97" i="3" l="1"/>
  <c r="AH97" i="3"/>
  <c r="U96" i="3"/>
  <c r="E97" i="3" s="1"/>
  <c r="H97" i="3" s="1"/>
  <c r="Y95" i="3"/>
  <c r="K97" i="3" l="1"/>
  <c r="D97" i="3"/>
  <c r="V97" i="3" l="1"/>
  <c r="AE97" i="3"/>
  <c r="F97" i="3"/>
  <c r="G97" i="3"/>
  <c r="I97" i="3" l="1"/>
  <c r="W97" i="3" s="1"/>
  <c r="J97" i="3"/>
  <c r="M97" i="3"/>
  <c r="N97" i="3" s="1"/>
  <c r="L97" i="3" l="1"/>
  <c r="U97" i="3" l="1"/>
  <c r="D98" i="3" s="1"/>
  <c r="AH98" i="3"/>
  <c r="AG98" i="3"/>
  <c r="Y96" i="3"/>
  <c r="G98" i="3" l="1"/>
  <c r="E98" i="3"/>
  <c r="H98" i="3" s="1"/>
  <c r="I98" i="3" l="1"/>
  <c r="J98" i="3"/>
  <c r="M98" i="3"/>
  <c r="N98" i="3" s="1"/>
  <c r="F98" i="3"/>
  <c r="K98" i="3"/>
  <c r="L98" i="3" l="1"/>
  <c r="V98" i="3"/>
  <c r="W98" i="3" s="1"/>
  <c r="AE98" i="3"/>
  <c r="AG99" i="3" l="1"/>
  <c r="AH99" i="3"/>
  <c r="U98" i="3"/>
  <c r="D99" i="3" s="1"/>
  <c r="Y97" i="3"/>
  <c r="G99" i="3" l="1"/>
  <c r="E99" i="3"/>
  <c r="H99" i="3" s="1"/>
  <c r="F99" i="3" l="1"/>
  <c r="I99" i="3"/>
  <c r="J99" i="3"/>
  <c r="M99" i="3"/>
  <c r="N99" i="3" s="1"/>
  <c r="K99" i="3"/>
  <c r="V99" i="3" l="1"/>
  <c r="W99" i="3" s="1"/>
  <c r="AE99" i="3"/>
  <c r="L99" i="3"/>
  <c r="U99" i="3" l="1"/>
  <c r="D100" i="3" s="1"/>
  <c r="AH100" i="3"/>
  <c r="AG100" i="3"/>
  <c r="Y98" i="3"/>
  <c r="E100" i="3" l="1"/>
  <c r="H100" i="3" s="1"/>
  <c r="K100" i="3" s="1"/>
  <c r="G100" i="3"/>
  <c r="F100" i="3" l="1"/>
  <c r="V100" i="3"/>
  <c r="AE100" i="3"/>
  <c r="I100" i="3"/>
  <c r="J100" i="3"/>
  <c r="M100" i="3"/>
  <c r="N100" i="3" s="1"/>
  <c r="W100" i="3" l="1"/>
  <c r="L100" i="3"/>
  <c r="AH101" i="3" l="1"/>
  <c r="U100" i="3"/>
  <c r="E101" i="3" s="1"/>
  <c r="H101" i="3" s="1"/>
  <c r="AG101" i="3"/>
  <c r="Y99" i="3"/>
  <c r="K101" i="3" l="1"/>
  <c r="D101" i="3"/>
  <c r="V101" i="3" l="1"/>
  <c r="AE101" i="3"/>
  <c r="F101" i="3"/>
  <c r="G101" i="3"/>
  <c r="I101" i="3" l="1"/>
  <c r="W101" i="3" s="1"/>
  <c r="J101" i="3"/>
  <c r="M101" i="3"/>
  <c r="N101" i="3" s="1"/>
  <c r="L101" i="3" l="1"/>
  <c r="AH102" i="3" l="1"/>
  <c r="AG102" i="3"/>
  <c r="U101" i="3"/>
  <c r="E102" i="3" s="1"/>
  <c r="H102" i="3" s="1"/>
  <c r="Y100" i="3"/>
  <c r="K102" i="3" l="1"/>
  <c r="D102" i="3"/>
  <c r="V102" i="3" l="1"/>
  <c r="AE102" i="3"/>
  <c r="F102" i="3"/>
  <c r="G102" i="3"/>
  <c r="I102" i="3" l="1"/>
  <c r="W102" i="3" s="1"/>
  <c r="J102" i="3"/>
  <c r="M102" i="3"/>
  <c r="N102" i="3" s="1"/>
  <c r="L102" i="3" l="1"/>
  <c r="AG103" i="3" l="1"/>
  <c r="AH103" i="3"/>
  <c r="U102" i="3"/>
  <c r="E103" i="3" s="1"/>
  <c r="H103" i="3" s="1"/>
  <c r="Y101" i="3"/>
  <c r="K103" i="3" l="1"/>
  <c r="D103" i="3"/>
  <c r="V103" i="3" l="1"/>
  <c r="AE103" i="3"/>
  <c r="F103" i="3"/>
  <c r="G103" i="3"/>
  <c r="I103" i="3" l="1"/>
  <c r="W103" i="3" s="1"/>
  <c r="J103" i="3"/>
  <c r="M103" i="3"/>
  <c r="N103" i="3" s="1"/>
  <c r="L103" i="3" l="1"/>
  <c r="AG104" i="3" l="1"/>
  <c r="AH104" i="3"/>
  <c r="U103" i="3"/>
  <c r="E104" i="3" s="1"/>
  <c r="H104" i="3" s="1"/>
  <c r="Y102" i="3"/>
  <c r="K104" i="3" l="1"/>
  <c r="D104" i="3"/>
  <c r="V104" i="3" l="1"/>
  <c r="AE104" i="3"/>
  <c r="F104" i="3"/>
  <c r="G104" i="3"/>
  <c r="I104" i="3" l="1"/>
  <c r="W104" i="3" s="1"/>
  <c r="J104" i="3"/>
  <c r="M104" i="3"/>
  <c r="N104" i="3" s="1"/>
  <c r="L104" i="3" l="1"/>
  <c r="AD104" i="3"/>
  <c r="U104" i="3" l="1"/>
  <c r="E105" i="3" s="1"/>
  <c r="H105" i="3" s="1"/>
  <c r="AG105" i="3"/>
  <c r="AH105" i="3"/>
  <c r="Y103" i="3"/>
  <c r="D105" i="3" l="1"/>
  <c r="G105" i="3" s="1"/>
  <c r="K105" i="3"/>
  <c r="F105" i="3" l="1"/>
  <c r="V105" i="3"/>
  <c r="AE105" i="3"/>
  <c r="I105" i="3"/>
  <c r="J105" i="3"/>
  <c r="M105" i="3"/>
  <c r="N105" i="3" s="1"/>
  <c r="W105" i="3" l="1"/>
  <c r="L105" i="3"/>
  <c r="AH106" i="3" l="1"/>
  <c r="AG106" i="3"/>
  <c r="U105" i="3"/>
  <c r="D106" i="3" s="1"/>
  <c r="Y104" i="3"/>
  <c r="E106" i="3" l="1"/>
  <c r="H106" i="3" s="1"/>
  <c r="K106" i="3" s="1"/>
  <c r="G106" i="3"/>
  <c r="F106" i="3" l="1"/>
  <c r="V106" i="3"/>
  <c r="AE106" i="3"/>
  <c r="I106" i="3"/>
  <c r="J106" i="3"/>
  <c r="M106" i="3"/>
  <c r="N106" i="3" s="1"/>
  <c r="W106" i="3" l="1"/>
  <c r="L106" i="3"/>
  <c r="AG107" i="3" l="1"/>
  <c r="AH107" i="3"/>
  <c r="U106" i="3"/>
  <c r="E107" i="3" s="1"/>
  <c r="H107" i="3" s="1"/>
  <c r="Y105" i="3"/>
  <c r="K107" i="3" l="1"/>
  <c r="D107" i="3"/>
  <c r="V107" i="3" l="1"/>
  <c r="AE107" i="3"/>
  <c r="F107" i="3"/>
  <c r="G107" i="3"/>
  <c r="I107" i="3" l="1"/>
  <c r="W107" i="3" s="1"/>
  <c r="J107" i="3"/>
  <c r="M107" i="3"/>
  <c r="N107" i="3" s="1"/>
  <c r="L107" i="3" l="1"/>
  <c r="AH108" i="3" l="1"/>
  <c r="U107" i="3"/>
  <c r="E108" i="3" s="1"/>
  <c r="H108" i="3" s="1"/>
  <c r="AG108" i="3"/>
  <c r="Y106" i="3"/>
  <c r="D108" i="3" l="1"/>
  <c r="G108" i="3" s="1"/>
  <c r="K108" i="3"/>
  <c r="F108" i="3" l="1"/>
  <c r="I108" i="3"/>
  <c r="J108" i="3"/>
  <c r="M108" i="3"/>
  <c r="N108" i="3" s="1"/>
  <c r="V108" i="3"/>
  <c r="AE108" i="3"/>
  <c r="W108" i="3" l="1"/>
  <c r="L108" i="3"/>
  <c r="AG109" i="3" l="1"/>
  <c r="U108" i="3"/>
  <c r="D109" i="3" s="1"/>
  <c r="AH109" i="3"/>
  <c r="Y107" i="3"/>
  <c r="E109" i="3" l="1"/>
  <c r="H109" i="3" s="1"/>
  <c r="K109" i="3" s="1"/>
  <c r="G109" i="3"/>
  <c r="F109" i="3" l="1"/>
  <c r="V109" i="3"/>
  <c r="AE109" i="3"/>
  <c r="I109" i="3"/>
  <c r="J109" i="3"/>
  <c r="M109" i="3"/>
  <c r="N109" i="3" s="1"/>
  <c r="L109" i="3" l="1"/>
  <c r="W109" i="3"/>
  <c r="AH110" i="3" l="1"/>
  <c r="AG110" i="3"/>
  <c r="U109" i="3"/>
  <c r="D110" i="3" s="1"/>
  <c r="Y108" i="3"/>
  <c r="E110" i="3" l="1"/>
  <c r="H110" i="3" s="1"/>
  <c r="K110" i="3" s="1"/>
  <c r="G110" i="3"/>
  <c r="F110" i="3" l="1"/>
  <c r="I110" i="3"/>
  <c r="J110" i="3"/>
  <c r="M110" i="3"/>
  <c r="N110" i="3" s="1"/>
  <c r="V110" i="3"/>
  <c r="AE110" i="3"/>
  <c r="W110" i="3" l="1"/>
  <c r="L110" i="3"/>
  <c r="AH111" i="3" l="1"/>
  <c r="U110" i="3"/>
  <c r="E111" i="3" s="1"/>
  <c r="H111" i="3" s="1"/>
  <c r="AG111" i="3"/>
  <c r="Y109" i="3"/>
  <c r="D111" i="3" l="1"/>
  <c r="G111" i="3" s="1"/>
  <c r="K111" i="3"/>
  <c r="F111" i="3" l="1"/>
  <c r="I111" i="3"/>
  <c r="J111" i="3"/>
  <c r="M111" i="3"/>
  <c r="N111" i="3" s="1"/>
  <c r="V111" i="3"/>
  <c r="AE111" i="3"/>
  <c r="W111" i="3" l="1"/>
  <c r="L111" i="3"/>
  <c r="AH112" i="3" l="1"/>
  <c r="U111" i="3"/>
  <c r="D112" i="3" s="1"/>
  <c r="AG112" i="3"/>
  <c r="Y110" i="3"/>
  <c r="E112" i="3" l="1"/>
  <c r="H112" i="3" s="1"/>
  <c r="K112" i="3" s="1"/>
  <c r="G112" i="3"/>
  <c r="F112" i="3" l="1"/>
  <c r="V112" i="3"/>
  <c r="AE112" i="3"/>
  <c r="I112" i="3"/>
  <c r="J112" i="3"/>
  <c r="M112" i="3"/>
  <c r="N112" i="3" s="1"/>
  <c r="W112" i="3" l="1"/>
  <c r="L112" i="3"/>
  <c r="AG113" i="3" l="1"/>
  <c r="U112" i="3"/>
  <c r="E113" i="3" s="1"/>
  <c r="H113" i="3" s="1"/>
  <c r="AH113" i="3"/>
  <c r="Y111" i="3"/>
  <c r="D113" i="3" l="1"/>
  <c r="G113" i="3" s="1"/>
  <c r="K113" i="3"/>
  <c r="F113" i="3" l="1"/>
  <c r="V113" i="3"/>
  <c r="AE113" i="3"/>
  <c r="I113" i="3"/>
  <c r="J113" i="3"/>
  <c r="M113" i="3"/>
  <c r="N113" i="3" s="1"/>
  <c r="W113" i="3" l="1"/>
  <c r="L113" i="3"/>
  <c r="AH114" i="3" l="1"/>
  <c r="U113" i="3"/>
  <c r="D114" i="3" s="1"/>
  <c r="AG114" i="3"/>
  <c r="Y112" i="3"/>
  <c r="E114" i="3" l="1"/>
  <c r="H114" i="3" s="1"/>
  <c r="K114" i="3" s="1"/>
  <c r="G114" i="3"/>
  <c r="F114" i="3" l="1"/>
  <c r="I114" i="3"/>
  <c r="J114" i="3"/>
  <c r="M114" i="3"/>
  <c r="N114" i="3" s="1"/>
  <c r="V114" i="3"/>
  <c r="AE114" i="3"/>
  <c r="W114" i="3" l="1"/>
  <c r="L114" i="3"/>
  <c r="U114" i="3" l="1"/>
  <c r="D115" i="3" s="1"/>
  <c r="AH115" i="3"/>
  <c r="AG115" i="3"/>
  <c r="Y113" i="3"/>
  <c r="G115" i="3" l="1"/>
  <c r="E115" i="3"/>
  <c r="H115" i="3" s="1"/>
  <c r="F115" i="3" l="1"/>
  <c r="I115" i="3"/>
  <c r="J115" i="3"/>
  <c r="M115" i="3"/>
  <c r="N115" i="3" s="1"/>
  <c r="K115" i="3"/>
  <c r="V115" i="3" l="1"/>
  <c r="W115" i="3" s="1"/>
  <c r="AE115" i="3"/>
  <c r="L115" i="3"/>
  <c r="AH116" i="3" l="1"/>
  <c r="U115" i="3"/>
  <c r="E116" i="3" s="1"/>
  <c r="H116" i="3" s="1"/>
  <c r="AG116" i="3"/>
  <c r="Y114" i="3"/>
  <c r="K116" i="3" l="1"/>
  <c r="D116" i="3"/>
  <c r="V116" i="3" l="1"/>
  <c r="AE116" i="3"/>
  <c r="F116" i="3"/>
  <c r="G116" i="3"/>
  <c r="I116" i="3" l="1"/>
  <c r="W116" i="3" s="1"/>
  <c r="J116" i="3"/>
  <c r="M116" i="3"/>
  <c r="N116" i="3" s="1"/>
  <c r="L116" i="3" l="1"/>
  <c r="U116" i="3" l="1"/>
  <c r="D117" i="3" s="1"/>
  <c r="AH117" i="3"/>
  <c r="AG117" i="3"/>
  <c r="Y115" i="3"/>
  <c r="E117" i="3" l="1"/>
  <c r="H117" i="3" s="1"/>
  <c r="K117" i="3" s="1"/>
  <c r="G117" i="3"/>
  <c r="F117" i="3" l="1"/>
  <c r="I117" i="3"/>
  <c r="J117" i="3"/>
  <c r="M117" i="3"/>
  <c r="N117" i="3" s="1"/>
  <c r="V117" i="3"/>
  <c r="AE117" i="3"/>
  <c r="W117" i="3" l="1"/>
  <c r="L117" i="3"/>
  <c r="AG118" i="3" l="1"/>
  <c r="U117" i="3"/>
  <c r="D118" i="3" s="1"/>
  <c r="AH118" i="3"/>
  <c r="Y116" i="3"/>
  <c r="E118" i="3" l="1"/>
  <c r="H118" i="3" s="1"/>
  <c r="K118" i="3" s="1"/>
  <c r="G118" i="3"/>
  <c r="F118" i="3" l="1"/>
  <c r="I118" i="3"/>
  <c r="J118" i="3"/>
  <c r="M118" i="3"/>
  <c r="N118" i="3" s="1"/>
  <c r="V118" i="3"/>
  <c r="AE118" i="3"/>
  <c r="L118" i="3" l="1"/>
  <c r="W118" i="3"/>
  <c r="U118" i="3" l="1"/>
  <c r="E119" i="3" s="1"/>
  <c r="H119" i="3" s="1"/>
  <c r="AG119" i="3"/>
  <c r="AH119" i="3"/>
  <c r="Y117" i="3"/>
  <c r="D119" i="3" l="1"/>
  <c r="F119" i="3" s="1"/>
  <c r="K119" i="3"/>
  <c r="G119" i="3" l="1"/>
  <c r="M119" i="3" s="1"/>
  <c r="N119" i="3" s="1"/>
  <c r="V119" i="3"/>
  <c r="AE119" i="3"/>
  <c r="I119" i="3" l="1"/>
  <c r="W119" i="3" s="1"/>
  <c r="J119" i="3"/>
  <c r="L119" i="3" s="1"/>
  <c r="AH120" i="3" l="1"/>
  <c r="U119" i="3"/>
  <c r="D120" i="3" s="1"/>
  <c r="AG120" i="3"/>
  <c r="Y118" i="3"/>
  <c r="E120" i="3" l="1"/>
  <c r="H120" i="3" s="1"/>
  <c r="K120" i="3" s="1"/>
  <c r="G120" i="3"/>
  <c r="F120" i="3" l="1"/>
  <c r="I120" i="3"/>
  <c r="J120" i="3"/>
  <c r="M120" i="3"/>
  <c r="N120" i="3" s="1"/>
  <c r="V120" i="3"/>
  <c r="AE120" i="3"/>
  <c r="W120" i="3" l="1"/>
  <c r="L120" i="3"/>
  <c r="U120" i="3" l="1"/>
  <c r="E121" i="3" s="1"/>
  <c r="H121" i="3" s="1"/>
  <c r="AH121" i="3"/>
  <c r="AG121" i="3"/>
  <c r="Y119" i="3"/>
  <c r="D121" i="3" l="1"/>
  <c r="G121" i="3" s="1"/>
  <c r="K121" i="3"/>
  <c r="F121" i="3" l="1"/>
  <c r="I121" i="3"/>
  <c r="J121" i="3"/>
  <c r="M121" i="3"/>
  <c r="N121" i="3" s="1"/>
  <c r="V121" i="3"/>
  <c r="AE121" i="3"/>
  <c r="L121" i="3" l="1"/>
  <c r="W121" i="3"/>
  <c r="U121" i="3" l="1"/>
  <c r="D122" i="3" s="1"/>
  <c r="AG122" i="3"/>
  <c r="AH122" i="3"/>
  <c r="Y120" i="3"/>
  <c r="G122" i="3" l="1"/>
  <c r="E122" i="3"/>
  <c r="H122" i="3" s="1"/>
  <c r="F122" i="3" l="1"/>
  <c r="K122" i="3"/>
  <c r="I122" i="3"/>
  <c r="J122" i="3"/>
  <c r="M122" i="3"/>
  <c r="N122" i="3" s="1"/>
  <c r="L122" i="3" l="1"/>
  <c r="V122" i="3"/>
  <c r="W122" i="3" s="1"/>
  <c r="AE122" i="3"/>
  <c r="U122" i="3" l="1"/>
  <c r="D123" i="3" s="1"/>
  <c r="AH123" i="3"/>
  <c r="AG123" i="3"/>
  <c r="Y121" i="3"/>
  <c r="G123" i="3" l="1"/>
  <c r="E123" i="3"/>
  <c r="H123" i="3" s="1"/>
  <c r="I123" i="3" l="1"/>
  <c r="J123" i="3"/>
  <c r="M123" i="3"/>
  <c r="N123" i="3" s="1"/>
  <c r="K123" i="3"/>
  <c r="F123" i="3"/>
  <c r="V123" i="3" l="1"/>
  <c r="W123" i="3" s="1"/>
  <c r="AE123" i="3"/>
  <c r="L123" i="3"/>
  <c r="U123" i="3" l="1"/>
  <c r="D124" i="3" s="1"/>
  <c r="AH124" i="3"/>
  <c r="AG124" i="3"/>
  <c r="Y122" i="3"/>
  <c r="E124" i="3" l="1"/>
  <c r="H124" i="3" s="1"/>
  <c r="K124" i="3" s="1"/>
  <c r="G124" i="3"/>
  <c r="F124" i="3" l="1"/>
  <c r="I124" i="3"/>
  <c r="J124" i="3"/>
  <c r="M124" i="3"/>
  <c r="N124" i="3" s="1"/>
  <c r="V124" i="3"/>
  <c r="AE124" i="3"/>
  <c r="W124" i="3" l="1"/>
  <c r="L124" i="3"/>
  <c r="U124" i="3" l="1"/>
  <c r="E125" i="3" s="1"/>
  <c r="H125" i="3" s="1"/>
  <c r="AH125" i="3"/>
  <c r="AG125" i="3"/>
  <c r="Y123" i="3"/>
  <c r="K125" i="3" l="1"/>
  <c r="D125" i="3"/>
  <c r="V125" i="3" l="1"/>
  <c r="AE125" i="3"/>
  <c r="F125" i="3"/>
  <c r="G125" i="3"/>
  <c r="I125" i="3" l="1"/>
  <c r="W125" i="3" s="1"/>
  <c r="J125" i="3"/>
  <c r="M125" i="3"/>
  <c r="N125" i="3" s="1"/>
  <c r="L125" i="3" l="1"/>
  <c r="AG126" i="3" l="1"/>
  <c r="AH126" i="3"/>
  <c r="U125" i="3"/>
  <c r="D126" i="3" s="1"/>
  <c r="Y124" i="3"/>
  <c r="E126" i="3" l="1"/>
  <c r="H126" i="3" s="1"/>
  <c r="K126" i="3" s="1"/>
  <c r="G126" i="3"/>
  <c r="F126" i="3" l="1"/>
  <c r="I126" i="3"/>
  <c r="J126" i="3"/>
  <c r="M126" i="3"/>
  <c r="N126" i="3" s="1"/>
  <c r="V126" i="3"/>
  <c r="AE126" i="3"/>
  <c r="W126" i="3" l="1"/>
  <c r="L126" i="3"/>
  <c r="U126" i="3" l="1"/>
  <c r="E127" i="3" s="1"/>
  <c r="H127" i="3" s="1"/>
  <c r="AH127" i="3"/>
  <c r="AG127" i="3"/>
  <c r="Y125" i="3"/>
  <c r="D127" i="3" l="1"/>
  <c r="G127" i="3" s="1"/>
  <c r="K127" i="3"/>
  <c r="F127" i="3" l="1"/>
  <c r="I127" i="3"/>
  <c r="J127" i="3"/>
  <c r="M127" i="3"/>
  <c r="N127" i="3" s="1"/>
  <c r="V127" i="3"/>
  <c r="AE127" i="3"/>
  <c r="W127" i="3" l="1"/>
  <c r="L127" i="3"/>
  <c r="AH128" i="3" l="1"/>
  <c r="U127" i="3"/>
  <c r="E128" i="3" s="1"/>
  <c r="H128" i="3" s="1"/>
  <c r="AG128" i="3"/>
  <c r="Y126" i="3"/>
  <c r="D128" i="3" l="1"/>
  <c r="G128" i="3" s="1"/>
  <c r="K128" i="3"/>
  <c r="F128" i="3" l="1"/>
  <c r="I128" i="3"/>
  <c r="J128" i="3"/>
  <c r="M128" i="3"/>
  <c r="N128" i="3" s="1"/>
  <c r="V128" i="3"/>
  <c r="AE128" i="3"/>
  <c r="W128" i="3" l="1"/>
  <c r="L128" i="3"/>
  <c r="AH129" i="3" l="1"/>
  <c r="U128" i="3"/>
  <c r="D129" i="3" s="1"/>
  <c r="AG129" i="3"/>
  <c r="Y127" i="3"/>
  <c r="G129" i="3" l="1"/>
  <c r="E129" i="3"/>
  <c r="H129" i="3" s="1"/>
  <c r="F129" i="3" l="1"/>
  <c r="I129" i="3"/>
  <c r="J129" i="3"/>
  <c r="M129" i="3"/>
  <c r="N129" i="3" s="1"/>
  <c r="K129" i="3"/>
  <c r="V129" i="3" l="1"/>
  <c r="W129" i="3" s="1"/>
  <c r="AE129" i="3"/>
  <c r="L129" i="3"/>
  <c r="U129" i="3" l="1"/>
  <c r="E130" i="3" s="1"/>
  <c r="H130" i="3" s="1"/>
  <c r="AH130" i="3"/>
  <c r="AG130" i="3"/>
  <c r="Y128" i="3"/>
  <c r="D130" i="3" l="1"/>
  <c r="G130" i="3" s="1"/>
  <c r="K130" i="3"/>
  <c r="F130" i="3" l="1"/>
  <c r="V130" i="3"/>
  <c r="AE130" i="3"/>
  <c r="I130" i="3"/>
  <c r="J130" i="3"/>
  <c r="M130" i="3"/>
  <c r="N130" i="3" s="1"/>
  <c r="L130" i="3" l="1"/>
  <c r="W130" i="3"/>
  <c r="U130" i="3" l="1"/>
  <c r="E131" i="3" s="1"/>
  <c r="H131" i="3" s="1"/>
  <c r="AH131" i="3"/>
  <c r="AG131" i="3"/>
  <c r="Y129" i="3"/>
  <c r="D131" i="3" l="1"/>
  <c r="F131" i="3" s="1"/>
  <c r="K131" i="3"/>
  <c r="G131" i="3" l="1"/>
  <c r="M131" i="3" s="1"/>
  <c r="N131" i="3" s="1"/>
  <c r="V131" i="3"/>
  <c r="AE131" i="3"/>
  <c r="J131" i="3" l="1"/>
  <c r="L131" i="3" s="1"/>
  <c r="I131" i="3"/>
  <c r="W131" i="3" s="1"/>
  <c r="U131" i="3" l="1"/>
  <c r="E132" i="3" s="1"/>
  <c r="H132" i="3" s="1"/>
  <c r="AH132" i="3"/>
  <c r="AG132" i="3"/>
  <c r="Y130" i="3"/>
  <c r="K132" i="3" l="1"/>
  <c r="D132" i="3"/>
  <c r="V132" i="3" l="1"/>
  <c r="AE132" i="3"/>
  <c r="F132" i="3"/>
  <c r="G132" i="3"/>
  <c r="I132" i="3" l="1"/>
  <c r="W132" i="3" s="1"/>
  <c r="J132" i="3"/>
  <c r="M132" i="3"/>
  <c r="N132" i="3" s="1"/>
  <c r="L132" i="3" l="1"/>
  <c r="U132" i="3" l="1"/>
  <c r="D133" i="3" s="1"/>
  <c r="AH133" i="3"/>
  <c r="AG133" i="3"/>
  <c r="Y131" i="3"/>
  <c r="E133" i="3" l="1"/>
  <c r="H133" i="3" s="1"/>
  <c r="K133" i="3" s="1"/>
  <c r="G133" i="3"/>
  <c r="F133" i="3" l="1"/>
  <c r="V133" i="3"/>
  <c r="AE133" i="3"/>
  <c r="I133" i="3"/>
  <c r="J133" i="3"/>
  <c r="M133" i="3"/>
  <c r="N133" i="3" s="1"/>
  <c r="W133" i="3" l="1"/>
  <c r="L133" i="3"/>
  <c r="AG134" i="3" l="1"/>
  <c r="U133" i="3"/>
  <c r="D134" i="3" s="1"/>
  <c r="AH134" i="3"/>
  <c r="Y132" i="3"/>
  <c r="E134" i="3" l="1"/>
  <c r="H134" i="3" s="1"/>
  <c r="K134" i="3" s="1"/>
  <c r="G134" i="3"/>
  <c r="F134" i="3" l="1"/>
  <c r="I134" i="3"/>
  <c r="J134" i="3"/>
  <c r="AD134" i="3" s="1"/>
  <c r="M134" i="3"/>
  <c r="N134" i="3" s="1"/>
  <c r="V134" i="3"/>
  <c r="AE134" i="3"/>
  <c r="W134" i="3" l="1"/>
  <c r="L134" i="3"/>
  <c r="U134" i="3" l="1"/>
  <c r="E135" i="3" s="1"/>
  <c r="H135" i="3" s="1"/>
  <c r="AH135" i="3"/>
  <c r="AG135" i="3"/>
  <c r="Y133" i="3"/>
  <c r="K135" i="3" l="1"/>
  <c r="D135" i="3"/>
  <c r="V135" i="3" l="1"/>
  <c r="AE135" i="3"/>
  <c r="F135" i="3"/>
  <c r="G135" i="3"/>
  <c r="I135" i="3" l="1"/>
  <c r="W135" i="3" s="1"/>
  <c r="J135" i="3"/>
  <c r="M135" i="3"/>
  <c r="N135" i="3" s="1"/>
  <c r="L135" i="3" l="1"/>
  <c r="AH136" i="3" l="1"/>
  <c r="U135" i="3"/>
  <c r="D136" i="3" s="1"/>
  <c r="AG136" i="3"/>
  <c r="Y134" i="3"/>
  <c r="E136" i="3" l="1"/>
  <c r="H136" i="3" s="1"/>
  <c r="K136" i="3" s="1"/>
  <c r="G136" i="3"/>
  <c r="F136" i="3" l="1"/>
  <c r="I136" i="3"/>
  <c r="J136" i="3"/>
  <c r="M136" i="3"/>
  <c r="N136" i="3" s="1"/>
  <c r="V136" i="3"/>
  <c r="AE136" i="3"/>
  <c r="W136" i="3" l="1"/>
  <c r="L136" i="3"/>
  <c r="U136" i="3" l="1"/>
  <c r="D137" i="3" s="1"/>
  <c r="AH137" i="3"/>
  <c r="AG137" i="3"/>
  <c r="Y135" i="3"/>
  <c r="E137" i="3" l="1"/>
  <c r="H137" i="3" s="1"/>
  <c r="K137" i="3" s="1"/>
  <c r="G137" i="3"/>
  <c r="F137" i="3" l="1"/>
  <c r="I137" i="3"/>
  <c r="J137" i="3"/>
  <c r="M137" i="3"/>
  <c r="N137" i="3" s="1"/>
  <c r="V137" i="3"/>
  <c r="AE137" i="3"/>
  <c r="W137" i="3" l="1"/>
  <c r="L137" i="3"/>
  <c r="AH138" i="3" l="1"/>
  <c r="U137" i="3"/>
  <c r="E138" i="3" s="1"/>
  <c r="H138" i="3" s="1"/>
  <c r="AG138" i="3"/>
  <c r="Y136" i="3"/>
  <c r="D138" i="3" l="1"/>
  <c r="F138" i="3" s="1"/>
  <c r="K138" i="3"/>
  <c r="G138" i="3" l="1"/>
  <c r="M138" i="3" s="1"/>
  <c r="N138" i="3" s="1"/>
  <c r="V138" i="3"/>
  <c r="AE138" i="3"/>
  <c r="I138" i="3" l="1"/>
  <c r="W138" i="3" s="1"/>
  <c r="J138" i="3"/>
  <c r="L138" i="3" s="1"/>
  <c r="U138" i="3" l="1"/>
  <c r="E139" i="3" s="1"/>
  <c r="H139" i="3" s="1"/>
  <c r="AG139" i="3"/>
  <c r="AH139" i="3"/>
  <c r="Y137" i="3"/>
  <c r="D139" i="3" l="1"/>
  <c r="G139" i="3" s="1"/>
  <c r="K139" i="3"/>
  <c r="F139" i="3" l="1"/>
  <c r="V139" i="3"/>
  <c r="AE139" i="3"/>
  <c r="I139" i="3"/>
  <c r="J139" i="3"/>
  <c r="M139" i="3"/>
  <c r="N139" i="3" s="1"/>
  <c r="W139" i="3" l="1"/>
  <c r="L139" i="3"/>
  <c r="AG140" i="3" l="1"/>
  <c r="U139" i="3"/>
  <c r="E140" i="3" s="1"/>
  <c r="H140" i="3" s="1"/>
  <c r="AH140" i="3"/>
  <c r="Y138" i="3"/>
  <c r="D140" i="3" l="1"/>
  <c r="G140" i="3" s="1"/>
  <c r="K140" i="3"/>
  <c r="F140" i="3" l="1"/>
  <c r="V140" i="3"/>
  <c r="AE140" i="3"/>
  <c r="I140" i="3"/>
  <c r="J140" i="3"/>
  <c r="M140" i="3"/>
  <c r="N140" i="3" s="1"/>
  <c r="W140" i="3" l="1"/>
  <c r="L140" i="3"/>
  <c r="AG141" i="3" l="1"/>
  <c r="U140" i="3"/>
  <c r="D141" i="3" s="1"/>
  <c r="AH141" i="3"/>
  <c r="Y139" i="3"/>
  <c r="E141" i="3" l="1"/>
  <c r="H141" i="3" s="1"/>
  <c r="K141" i="3" s="1"/>
  <c r="G141" i="3"/>
  <c r="F141" i="3" l="1"/>
  <c r="I141" i="3"/>
  <c r="J141" i="3"/>
  <c r="M141" i="3"/>
  <c r="N141" i="3" s="1"/>
  <c r="V141" i="3"/>
  <c r="AE141" i="3"/>
  <c r="W141" i="3" l="1"/>
  <c r="L141" i="3"/>
  <c r="U141" i="3" l="1"/>
  <c r="D142" i="3" s="1"/>
  <c r="AH142" i="3"/>
  <c r="AG142" i="3"/>
  <c r="Y140" i="3"/>
  <c r="E142" i="3" l="1"/>
  <c r="H142" i="3" s="1"/>
  <c r="K142" i="3" s="1"/>
  <c r="G142" i="3"/>
  <c r="F142" i="3" l="1"/>
  <c r="V142" i="3"/>
  <c r="AE142" i="3"/>
  <c r="I142" i="3"/>
  <c r="J142" i="3"/>
  <c r="M142" i="3"/>
  <c r="N142" i="3" s="1"/>
  <c r="W142" i="3" l="1"/>
  <c r="L142" i="3"/>
  <c r="U142" i="3" l="1"/>
  <c r="E143" i="3" s="1"/>
  <c r="H143" i="3" s="1"/>
  <c r="AG143" i="3"/>
  <c r="AH143" i="3"/>
  <c r="Y141" i="3"/>
  <c r="D143" i="3" l="1"/>
  <c r="F143" i="3" s="1"/>
  <c r="K143" i="3"/>
  <c r="G143" i="3" l="1"/>
  <c r="M143" i="3" s="1"/>
  <c r="N143" i="3" s="1"/>
  <c r="V143" i="3"/>
  <c r="AE143" i="3"/>
  <c r="J143" i="3" l="1"/>
  <c r="L143" i="3" s="1"/>
  <c r="I143" i="3"/>
  <c r="W143" i="3" s="1"/>
  <c r="U143" i="3" l="1"/>
  <c r="D144" i="3" s="1"/>
  <c r="AG144" i="3"/>
  <c r="AH144" i="3"/>
  <c r="Y142" i="3"/>
  <c r="E144" i="3" l="1"/>
  <c r="H144" i="3" s="1"/>
  <c r="K144" i="3" s="1"/>
  <c r="G144" i="3"/>
  <c r="F144" i="3" l="1"/>
  <c r="V144" i="3"/>
  <c r="AE144" i="3"/>
  <c r="I144" i="3"/>
  <c r="J144" i="3"/>
  <c r="M144" i="3"/>
  <c r="N144" i="3" s="1"/>
  <c r="W144" i="3" l="1"/>
  <c r="L144" i="3"/>
  <c r="AH145" i="3" l="1"/>
  <c r="AG145" i="3"/>
  <c r="U144" i="3"/>
  <c r="D145" i="3" s="1"/>
  <c r="Y143" i="3"/>
  <c r="E145" i="3" l="1"/>
  <c r="H145" i="3" s="1"/>
  <c r="K145" i="3" s="1"/>
  <c r="G145" i="3"/>
  <c r="F145" i="3" l="1"/>
  <c r="I145" i="3"/>
  <c r="J145" i="3"/>
  <c r="M145" i="3"/>
  <c r="N145" i="3" s="1"/>
  <c r="V145" i="3"/>
  <c r="AE145" i="3"/>
  <c r="W145" i="3" l="1"/>
  <c r="L145" i="3"/>
  <c r="U145" i="3" l="1"/>
  <c r="D146" i="3" s="1"/>
  <c r="AH146" i="3"/>
  <c r="AG146" i="3"/>
  <c r="Y144" i="3"/>
  <c r="E146" i="3" l="1"/>
  <c r="H146" i="3" s="1"/>
  <c r="K146" i="3" s="1"/>
  <c r="G146" i="3"/>
  <c r="F146" i="3" l="1"/>
  <c r="I146" i="3"/>
  <c r="J146" i="3"/>
  <c r="M146" i="3"/>
  <c r="N146" i="3" s="1"/>
  <c r="V146" i="3"/>
  <c r="AE146" i="3"/>
  <c r="W146" i="3" l="1"/>
  <c r="L146" i="3"/>
  <c r="U146" i="3" l="1"/>
  <c r="D147" i="3" s="1"/>
  <c r="AG147" i="3"/>
  <c r="AH147" i="3"/>
  <c r="Y145" i="3"/>
  <c r="E147" i="3" l="1"/>
  <c r="H147" i="3" s="1"/>
  <c r="K147" i="3" s="1"/>
  <c r="G147" i="3"/>
  <c r="F147" i="3" l="1"/>
  <c r="V147" i="3"/>
  <c r="AE147" i="3"/>
  <c r="I147" i="3"/>
  <c r="J147" i="3"/>
  <c r="M147" i="3"/>
  <c r="N147" i="3" s="1"/>
  <c r="W147" i="3" l="1"/>
  <c r="L147" i="3"/>
  <c r="AG148" i="3" l="1"/>
  <c r="U147" i="3"/>
  <c r="E148" i="3" s="1"/>
  <c r="H148" i="3" s="1"/>
  <c r="AH148" i="3"/>
  <c r="Y146" i="3"/>
  <c r="K148" i="3" l="1"/>
  <c r="D148" i="3"/>
  <c r="V148" i="3" l="1"/>
  <c r="AE148" i="3"/>
  <c r="F148" i="3"/>
  <c r="G148" i="3"/>
  <c r="I148" i="3" l="1"/>
  <c r="W148" i="3" s="1"/>
  <c r="J148" i="3"/>
  <c r="M148" i="3"/>
  <c r="N148" i="3" s="1"/>
  <c r="L148" i="3" l="1"/>
  <c r="AG149" i="3" l="1"/>
  <c r="U148" i="3"/>
  <c r="D149" i="3" s="1"/>
  <c r="AH149" i="3"/>
  <c r="Y147" i="3"/>
  <c r="E149" i="3" l="1"/>
  <c r="H149" i="3" s="1"/>
  <c r="K149" i="3" s="1"/>
  <c r="G149" i="3"/>
  <c r="F149" i="3" l="1"/>
  <c r="I149" i="3"/>
  <c r="J149" i="3"/>
  <c r="M149" i="3"/>
  <c r="N149" i="3" s="1"/>
  <c r="V149" i="3"/>
  <c r="AE149" i="3"/>
  <c r="W149" i="3" l="1"/>
  <c r="L149" i="3"/>
  <c r="AH150" i="3" l="1"/>
  <c r="U149" i="3"/>
  <c r="D150" i="3" s="1"/>
  <c r="AG150" i="3"/>
  <c r="Y148" i="3"/>
  <c r="E150" i="3" l="1"/>
  <c r="H150" i="3" s="1"/>
  <c r="K150" i="3" s="1"/>
  <c r="G150" i="3"/>
  <c r="F150" i="3" l="1"/>
  <c r="I150" i="3"/>
  <c r="J150" i="3"/>
  <c r="M150" i="3"/>
  <c r="N150" i="3" s="1"/>
  <c r="V150" i="3"/>
  <c r="AE150" i="3"/>
  <c r="W150" i="3" l="1"/>
  <c r="L150" i="3"/>
  <c r="AH151" i="3" l="1"/>
  <c r="U150" i="3"/>
  <c r="E151" i="3" s="1"/>
  <c r="H151" i="3" s="1"/>
  <c r="AG151" i="3"/>
  <c r="Y149" i="3"/>
  <c r="D151" i="3" l="1"/>
  <c r="G151" i="3" s="1"/>
  <c r="K151" i="3"/>
  <c r="F151" i="3" l="1"/>
  <c r="I151" i="3"/>
  <c r="J151" i="3"/>
  <c r="M151" i="3"/>
  <c r="N151" i="3" s="1"/>
  <c r="V151" i="3"/>
  <c r="AE151" i="3"/>
  <c r="W151" i="3" l="1"/>
  <c r="L151" i="3"/>
  <c r="AH152" i="3" l="1"/>
  <c r="AG152" i="3"/>
  <c r="U151" i="3"/>
  <c r="E152" i="3" s="1"/>
  <c r="H152" i="3" s="1"/>
  <c r="Y150" i="3"/>
  <c r="D152" i="3" l="1"/>
  <c r="G152" i="3" s="1"/>
  <c r="K152" i="3"/>
  <c r="F152" i="3" l="1"/>
  <c r="V152" i="3"/>
  <c r="AE152" i="3"/>
  <c r="I152" i="3"/>
  <c r="J152" i="3"/>
  <c r="M152" i="3"/>
  <c r="N152" i="3" s="1"/>
  <c r="W152" i="3" l="1"/>
  <c r="L152" i="3"/>
  <c r="AH153" i="3" l="1"/>
  <c r="U152" i="3"/>
  <c r="D153" i="3" s="1"/>
  <c r="AG153" i="3"/>
  <c r="Y151" i="3"/>
  <c r="G153" i="3" l="1"/>
  <c r="E153" i="3"/>
  <c r="H153" i="3" s="1"/>
  <c r="K153" i="3" l="1"/>
  <c r="I153" i="3"/>
  <c r="J153" i="3"/>
  <c r="M153" i="3"/>
  <c r="N153" i="3" s="1"/>
  <c r="F153" i="3"/>
  <c r="V153" i="3" l="1"/>
  <c r="W153" i="3" s="1"/>
  <c r="AE153" i="3"/>
  <c r="L153" i="3"/>
  <c r="U153" i="3" l="1"/>
  <c r="D154" i="3" s="1"/>
  <c r="AG154" i="3"/>
  <c r="AH154" i="3"/>
  <c r="Y152" i="3"/>
  <c r="E154" i="3" l="1"/>
  <c r="H154" i="3" s="1"/>
  <c r="K154" i="3" s="1"/>
  <c r="G154" i="3"/>
  <c r="F154" i="3" l="1"/>
  <c r="I154" i="3"/>
  <c r="J154" i="3"/>
  <c r="M154" i="3"/>
  <c r="N154" i="3" s="1"/>
  <c r="V154" i="3"/>
  <c r="AE154" i="3"/>
  <c r="L154" i="3" l="1"/>
  <c r="W154" i="3"/>
  <c r="U154" i="3" l="1"/>
  <c r="E155" i="3" s="1"/>
  <c r="H155" i="3" s="1"/>
  <c r="AH155" i="3"/>
  <c r="AG155" i="3"/>
  <c r="Y153" i="3"/>
  <c r="D155" i="3" l="1"/>
  <c r="G155" i="3" s="1"/>
  <c r="K155" i="3"/>
  <c r="F155" i="3" l="1"/>
  <c r="V155" i="3"/>
  <c r="AE155" i="3"/>
  <c r="I155" i="3"/>
  <c r="J155" i="3"/>
  <c r="M155" i="3"/>
  <c r="N155" i="3" s="1"/>
  <c r="W155" i="3" l="1"/>
  <c r="L155" i="3"/>
  <c r="AG156" i="3" l="1"/>
  <c r="U155" i="3"/>
  <c r="D156" i="3" s="1"/>
  <c r="AH156" i="3"/>
  <c r="Y154" i="3"/>
  <c r="E156" i="3" l="1"/>
  <c r="H156" i="3" s="1"/>
  <c r="K156" i="3" s="1"/>
  <c r="G156" i="3"/>
  <c r="F156" i="3" l="1"/>
  <c r="V156" i="3"/>
  <c r="AE156" i="3"/>
  <c r="I156" i="3"/>
  <c r="J156" i="3"/>
  <c r="M156" i="3"/>
  <c r="N156" i="3" s="1"/>
  <c r="W156" i="3" l="1"/>
  <c r="L156" i="3"/>
  <c r="U156" i="3" l="1"/>
  <c r="E157" i="3" s="1"/>
  <c r="H157" i="3" s="1"/>
  <c r="AH157" i="3"/>
  <c r="AG157" i="3"/>
  <c r="Y155" i="3"/>
  <c r="D157" i="3" l="1"/>
  <c r="G157" i="3" s="1"/>
  <c r="K157" i="3"/>
  <c r="F157" i="3" l="1"/>
  <c r="I157" i="3"/>
  <c r="J157" i="3"/>
  <c r="M157" i="3"/>
  <c r="N157" i="3" s="1"/>
  <c r="V157" i="3"/>
  <c r="AE157" i="3"/>
  <c r="W157" i="3" l="1"/>
  <c r="L157" i="3"/>
  <c r="U157" i="3" l="1"/>
  <c r="E158" i="3" s="1"/>
  <c r="H158" i="3" s="1"/>
  <c r="AH158" i="3"/>
  <c r="AG158" i="3"/>
  <c r="Y156" i="3"/>
  <c r="D158" i="3" l="1"/>
  <c r="F158" i="3" s="1"/>
  <c r="K158" i="3"/>
  <c r="G158" i="3" l="1"/>
  <c r="I158" i="3" s="1"/>
  <c r="V158" i="3"/>
  <c r="AE158" i="3"/>
  <c r="M158" i="3" l="1"/>
  <c r="N158" i="3" s="1"/>
  <c r="J158" i="3"/>
  <c r="L158" i="3" s="1"/>
  <c r="W158" i="3"/>
  <c r="U158" i="3" l="1"/>
  <c r="E159" i="3" s="1"/>
  <c r="H159" i="3" s="1"/>
  <c r="AG159" i="3"/>
  <c r="AH159" i="3"/>
  <c r="Y157" i="3"/>
  <c r="D159" i="3" l="1"/>
  <c r="F159" i="3" s="1"/>
  <c r="K159" i="3"/>
  <c r="G159" i="3" l="1"/>
  <c r="M159" i="3" s="1"/>
  <c r="N159" i="3" s="1"/>
  <c r="V159" i="3"/>
  <c r="AE159" i="3"/>
  <c r="I159" i="3" l="1"/>
  <c r="W159" i="3" s="1"/>
  <c r="J159" i="3"/>
  <c r="L159" i="3" s="1"/>
  <c r="AH160" i="3" l="1"/>
  <c r="U159" i="3"/>
  <c r="E160" i="3" s="1"/>
  <c r="H160" i="3" s="1"/>
  <c r="AG160" i="3"/>
  <c r="Y158" i="3"/>
  <c r="D160" i="3" l="1"/>
  <c r="G160" i="3" s="1"/>
  <c r="K160" i="3"/>
  <c r="F160" i="3" l="1"/>
  <c r="I160" i="3"/>
  <c r="J160" i="3"/>
  <c r="M160" i="3"/>
  <c r="N160" i="3" s="1"/>
  <c r="V160" i="3"/>
  <c r="AE160" i="3"/>
  <c r="W160" i="3" l="1"/>
  <c r="L160" i="3"/>
  <c r="AG161" i="3" l="1"/>
  <c r="AH161" i="3"/>
  <c r="U160" i="3"/>
  <c r="E161" i="3" s="1"/>
  <c r="H161" i="3" s="1"/>
  <c r="Y159" i="3"/>
  <c r="D161" i="3" l="1"/>
  <c r="G161" i="3" s="1"/>
  <c r="K161" i="3"/>
  <c r="F161" i="3" l="1"/>
  <c r="I161" i="3"/>
  <c r="J161" i="3"/>
  <c r="M161" i="3"/>
  <c r="N161" i="3" s="1"/>
  <c r="V161" i="3"/>
  <c r="AE161" i="3"/>
  <c r="W161" i="3" l="1"/>
  <c r="L161" i="3"/>
  <c r="U161" i="3" l="1"/>
  <c r="D162" i="3" s="1"/>
  <c r="AG162" i="3"/>
  <c r="AH162" i="3"/>
  <c r="Y160" i="3"/>
  <c r="G162" i="3" l="1"/>
  <c r="E162" i="3"/>
  <c r="H162" i="3" s="1"/>
  <c r="F162" i="3" l="1"/>
  <c r="I162" i="3"/>
  <c r="J162" i="3"/>
  <c r="M162" i="3"/>
  <c r="N162" i="3" s="1"/>
  <c r="K162" i="3"/>
  <c r="V162" i="3" l="1"/>
  <c r="W162" i="3" s="1"/>
  <c r="AE162" i="3"/>
  <c r="L162" i="3"/>
  <c r="U162" i="3" l="1"/>
  <c r="D163" i="3" s="1"/>
  <c r="AH163" i="3"/>
  <c r="AG163" i="3"/>
  <c r="Y161" i="3"/>
  <c r="E163" i="3" l="1"/>
  <c r="H163" i="3" s="1"/>
  <c r="K163" i="3" s="1"/>
  <c r="G163" i="3"/>
  <c r="F163" i="3" l="1"/>
  <c r="V163" i="3"/>
  <c r="AE163" i="3"/>
  <c r="I163" i="3"/>
  <c r="J163" i="3"/>
  <c r="M163" i="3"/>
  <c r="N163" i="3" s="1"/>
  <c r="W163" i="3" l="1"/>
  <c r="L163" i="3"/>
  <c r="AH164" i="3" l="1"/>
  <c r="U163" i="3"/>
  <c r="D164" i="3" s="1"/>
  <c r="AG164" i="3"/>
  <c r="Y162" i="3"/>
  <c r="E164" i="3" l="1"/>
  <c r="H164" i="3" s="1"/>
  <c r="K164" i="3" s="1"/>
  <c r="G164" i="3"/>
  <c r="F164" i="3" l="1"/>
  <c r="I164" i="3"/>
  <c r="J164" i="3"/>
  <c r="M164" i="3"/>
  <c r="N164" i="3" s="1"/>
  <c r="V164" i="3"/>
  <c r="AE164" i="3"/>
  <c r="W164" i="3" l="1"/>
  <c r="L164" i="3"/>
  <c r="U164" i="3" l="1"/>
  <c r="D165" i="3" s="1"/>
  <c r="AG165" i="3"/>
  <c r="AH165" i="3"/>
  <c r="Y163" i="3"/>
  <c r="E165" i="3" l="1"/>
  <c r="H165" i="3" s="1"/>
  <c r="K165" i="3" s="1"/>
  <c r="G165" i="3"/>
  <c r="F165" i="3" l="1"/>
  <c r="V165" i="3"/>
  <c r="AE165" i="3"/>
  <c r="I165" i="3"/>
  <c r="J165" i="3"/>
  <c r="M165" i="3"/>
  <c r="N165" i="3" s="1"/>
  <c r="L165" i="3" l="1"/>
  <c r="W165" i="3"/>
  <c r="AH166" i="3" l="1"/>
  <c r="U165" i="3"/>
  <c r="E166" i="3" s="1"/>
  <c r="H166" i="3" s="1"/>
  <c r="AG166" i="3"/>
  <c r="Y164" i="3"/>
  <c r="D166" i="3" l="1"/>
  <c r="G166" i="3" s="1"/>
  <c r="K166" i="3"/>
  <c r="F166" i="3" l="1"/>
  <c r="I166" i="3"/>
  <c r="J166" i="3"/>
  <c r="M166" i="3"/>
  <c r="N166" i="3" s="1"/>
  <c r="V166" i="3"/>
  <c r="AE166" i="3"/>
  <c r="W166" i="3" l="1"/>
  <c r="L166" i="3"/>
  <c r="AH167" i="3" l="1"/>
  <c r="AG167" i="3"/>
  <c r="U166" i="3"/>
  <c r="E167" i="3" s="1"/>
  <c r="H167" i="3" s="1"/>
  <c r="Y165" i="3"/>
  <c r="K167" i="3" l="1"/>
  <c r="D167" i="3"/>
  <c r="V167" i="3" l="1"/>
  <c r="AE167" i="3"/>
  <c r="F167" i="3"/>
  <c r="G167" i="3"/>
  <c r="I167" i="3" l="1"/>
  <c r="W167" i="3" s="1"/>
  <c r="J167" i="3"/>
  <c r="M167" i="3"/>
  <c r="N167" i="3" s="1"/>
  <c r="L167" i="3" l="1"/>
  <c r="AH168" i="3" l="1"/>
  <c r="U167" i="3"/>
  <c r="E168" i="3" s="1"/>
  <c r="H168" i="3" s="1"/>
  <c r="AG168" i="3"/>
  <c r="Y166" i="3"/>
  <c r="D168" i="3" l="1"/>
  <c r="F168" i="3" s="1"/>
  <c r="K168" i="3"/>
  <c r="G168" i="3" l="1"/>
  <c r="I168" i="3" s="1"/>
  <c r="V168" i="3"/>
  <c r="AE168" i="3"/>
  <c r="M168" i="3" l="1"/>
  <c r="N168" i="3" s="1"/>
  <c r="J168" i="3"/>
  <c r="L168" i="3" s="1"/>
  <c r="W168" i="3"/>
  <c r="U168" i="3" l="1"/>
  <c r="E169" i="3" s="1"/>
  <c r="H169" i="3" s="1"/>
  <c r="AH169" i="3"/>
  <c r="AG169" i="3"/>
  <c r="Y167" i="3"/>
  <c r="D169" i="3" l="1"/>
  <c r="F169" i="3" s="1"/>
  <c r="K169" i="3"/>
  <c r="G169" i="3" l="1"/>
  <c r="I169" i="3" s="1"/>
  <c r="V169" i="3"/>
  <c r="AE169" i="3"/>
  <c r="M169" i="3" l="1"/>
  <c r="N169" i="3" s="1"/>
  <c r="J169" i="3"/>
  <c r="L169" i="3" s="1"/>
  <c r="W169" i="3"/>
  <c r="AH170" i="3" l="1"/>
  <c r="U169" i="3"/>
  <c r="E170" i="3" s="1"/>
  <c r="H170" i="3" s="1"/>
  <c r="AG170" i="3"/>
  <c r="Y168" i="3"/>
  <c r="D170" i="3" l="1"/>
  <c r="G170" i="3" s="1"/>
  <c r="K170" i="3"/>
  <c r="F170" i="3" l="1"/>
  <c r="I170" i="3"/>
  <c r="J170" i="3"/>
  <c r="M170" i="3"/>
  <c r="N170" i="3" s="1"/>
  <c r="V170" i="3"/>
  <c r="AE170" i="3"/>
  <c r="W170" i="3" l="1"/>
  <c r="L170" i="3"/>
  <c r="AG171" i="3" l="1"/>
  <c r="U170" i="3"/>
  <c r="E171" i="3" s="1"/>
  <c r="H171" i="3" s="1"/>
  <c r="AH171" i="3"/>
  <c r="Y169" i="3"/>
  <c r="K171" i="3" l="1"/>
  <c r="D171" i="3"/>
  <c r="F171" i="3" l="1"/>
  <c r="G171" i="3"/>
  <c r="V171" i="3"/>
  <c r="AE171" i="3"/>
  <c r="I171" i="3" l="1"/>
  <c r="W171" i="3" s="1"/>
  <c r="J171" i="3"/>
  <c r="M171" i="3"/>
  <c r="N171" i="3" s="1"/>
  <c r="L171" i="3" l="1"/>
  <c r="U171" i="3" l="1"/>
  <c r="E172" i="3" s="1"/>
  <c r="H172" i="3" s="1"/>
  <c r="AH172" i="3"/>
  <c r="AG172" i="3"/>
  <c r="Y170" i="3"/>
  <c r="K172" i="3" l="1"/>
  <c r="D172" i="3"/>
  <c r="V172" i="3" l="1"/>
  <c r="AE172" i="3"/>
  <c r="F172" i="3"/>
  <c r="G172" i="3"/>
  <c r="I172" i="3" l="1"/>
  <c r="W172" i="3" s="1"/>
  <c r="J172" i="3"/>
  <c r="M172" i="3"/>
  <c r="N172" i="3" s="1"/>
  <c r="L172" i="3" l="1"/>
  <c r="U172" i="3" l="1"/>
  <c r="E173" i="3" s="1"/>
  <c r="H173" i="3" s="1"/>
  <c r="AH173" i="3"/>
  <c r="AG173" i="3"/>
  <c r="Y171" i="3"/>
  <c r="D173" i="3" l="1"/>
  <c r="G173" i="3" s="1"/>
  <c r="K173" i="3"/>
  <c r="F173" i="3" l="1"/>
  <c r="I173" i="3"/>
  <c r="J173" i="3"/>
  <c r="M173" i="3"/>
  <c r="N173" i="3" s="1"/>
  <c r="V173" i="3"/>
  <c r="AE173" i="3"/>
  <c r="L173" i="3" l="1"/>
  <c r="W173" i="3"/>
  <c r="U173" i="3" l="1"/>
  <c r="E174" i="3" s="1"/>
  <c r="H174" i="3" s="1"/>
  <c r="AG174" i="3"/>
  <c r="AH174" i="3"/>
  <c r="Y172" i="3"/>
  <c r="D174" i="3" l="1"/>
  <c r="G174" i="3" s="1"/>
  <c r="K174" i="3"/>
  <c r="F174" i="3" l="1"/>
  <c r="V174" i="3"/>
  <c r="AE174" i="3"/>
  <c r="I174" i="3"/>
  <c r="J174" i="3"/>
  <c r="AD174" i="3" s="1"/>
  <c r="M174" i="3"/>
  <c r="N174" i="3" s="1"/>
  <c r="W174" i="3" l="1"/>
  <c r="L174" i="3"/>
  <c r="U174" i="3" l="1"/>
  <c r="D175" i="3" s="1"/>
  <c r="AG175" i="3"/>
  <c r="AH175" i="3"/>
  <c r="Y173" i="3"/>
  <c r="E175" i="3" l="1"/>
  <c r="H175" i="3" s="1"/>
  <c r="K175" i="3" s="1"/>
  <c r="G175" i="3"/>
  <c r="F175" i="3" l="1"/>
  <c r="I175" i="3"/>
  <c r="J175" i="3"/>
  <c r="M175" i="3"/>
  <c r="N175" i="3" s="1"/>
  <c r="V175" i="3"/>
  <c r="AE175" i="3"/>
  <c r="W175" i="3" l="1"/>
  <c r="L175" i="3"/>
  <c r="U175" i="3" l="1"/>
  <c r="E176" i="3" s="1"/>
  <c r="H176" i="3" s="1"/>
  <c r="AG176" i="3"/>
  <c r="AH176" i="3"/>
  <c r="Y174" i="3"/>
  <c r="D176" i="3" l="1"/>
  <c r="G176" i="3" s="1"/>
  <c r="K176" i="3"/>
  <c r="F176" i="3" l="1"/>
  <c r="I176" i="3"/>
  <c r="J176" i="3"/>
  <c r="M176" i="3"/>
  <c r="N176" i="3" s="1"/>
  <c r="V176" i="3"/>
  <c r="AE176" i="3"/>
  <c r="W176" i="3" l="1"/>
  <c r="L176" i="3"/>
  <c r="AH177" i="3" l="1"/>
  <c r="U176" i="3"/>
  <c r="D177" i="3" s="1"/>
  <c r="AG177" i="3"/>
  <c r="Y175" i="3"/>
  <c r="G177" i="3" l="1"/>
  <c r="E177" i="3"/>
  <c r="H177" i="3" s="1"/>
  <c r="F177" i="3" l="1"/>
  <c r="I177" i="3"/>
  <c r="J177" i="3"/>
  <c r="M177" i="3"/>
  <c r="N177" i="3" s="1"/>
  <c r="K177" i="3"/>
  <c r="V177" i="3" l="1"/>
  <c r="W177" i="3" s="1"/>
  <c r="AE177" i="3"/>
  <c r="L177" i="3"/>
  <c r="AH178" i="3" l="1"/>
  <c r="U177" i="3"/>
  <c r="E178" i="3" s="1"/>
  <c r="H178" i="3" s="1"/>
  <c r="AG178" i="3"/>
  <c r="Y176" i="3"/>
  <c r="D178" i="3" l="1"/>
  <c r="G178" i="3" s="1"/>
  <c r="K178" i="3"/>
  <c r="F178" i="3" l="1"/>
  <c r="I178" i="3"/>
  <c r="J178" i="3"/>
  <c r="M178" i="3"/>
  <c r="N178" i="3" s="1"/>
  <c r="V178" i="3"/>
  <c r="AE178" i="3"/>
  <c r="W178" i="3" l="1"/>
  <c r="L178" i="3"/>
  <c r="U178" i="3" l="1"/>
  <c r="E179" i="3" s="1"/>
  <c r="H179" i="3" s="1"/>
  <c r="AG179" i="3"/>
  <c r="AH179" i="3"/>
  <c r="Y177" i="3"/>
  <c r="D179" i="3" l="1"/>
  <c r="G179" i="3" s="1"/>
  <c r="K179" i="3"/>
  <c r="F179" i="3" l="1"/>
  <c r="V179" i="3"/>
  <c r="AE179" i="3"/>
  <c r="I179" i="3"/>
  <c r="J179" i="3"/>
  <c r="M179" i="3"/>
  <c r="N179" i="3" s="1"/>
  <c r="W179" i="3" l="1"/>
  <c r="L179" i="3"/>
  <c r="AG180" i="3" l="1"/>
  <c r="U179" i="3"/>
  <c r="D180" i="3" s="1"/>
  <c r="AH180" i="3"/>
  <c r="Y178" i="3"/>
  <c r="E180" i="3" l="1"/>
  <c r="H180" i="3" s="1"/>
  <c r="K180" i="3" s="1"/>
  <c r="G180" i="3"/>
  <c r="F180" i="3" l="1"/>
  <c r="I180" i="3"/>
  <c r="J180" i="3"/>
  <c r="M180" i="3"/>
  <c r="N180" i="3" s="1"/>
  <c r="V180" i="3"/>
  <c r="AE180" i="3"/>
  <c r="L180" i="3" l="1"/>
  <c r="W180" i="3"/>
  <c r="U180" i="3" l="1"/>
  <c r="E181" i="3" s="1"/>
  <c r="H181" i="3" s="1"/>
  <c r="AH181" i="3"/>
  <c r="AG181" i="3"/>
  <c r="Y179" i="3"/>
  <c r="D181" i="3" l="1"/>
  <c r="G181" i="3" s="1"/>
  <c r="K181" i="3"/>
  <c r="F181" i="3" l="1"/>
  <c r="I181" i="3"/>
  <c r="J181" i="3"/>
  <c r="M181" i="3"/>
  <c r="N181" i="3" s="1"/>
  <c r="V181" i="3"/>
  <c r="AE181" i="3"/>
  <c r="W181" i="3" l="1"/>
  <c r="L181" i="3"/>
  <c r="AH182" i="3" l="1"/>
  <c r="U181" i="3"/>
  <c r="E182" i="3" s="1"/>
  <c r="H182" i="3" s="1"/>
  <c r="AG182" i="3"/>
  <c r="Y180" i="3"/>
  <c r="K182" i="3" l="1"/>
  <c r="D182" i="3"/>
  <c r="V182" i="3" l="1"/>
  <c r="AE182" i="3"/>
  <c r="F182" i="3"/>
  <c r="G182" i="3"/>
  <c r="I182" i="3" l="1"/>
  <c r="W182" i="3" s="1"/>
  <c r="J182" i="3"/>
  <c r="M182" i="3"/>
  <c r="N182" i="3" s="1"/>
  <c r="L182" i="3" l="1"/>
  <c r="U182" i="3" l="1"/>
  <c r="E183" i="3" s="1"/>
  <c r="H183" i="3" s="1"/>
  <c r="AH183" i="3"/>
  <c r="AG183" i="3"/>
  <c r="Y181" i="3"/>
  <c r="D183" i="3" l="1"/>
  <c r="G183" i="3" s="1"/>
  <c r="K183" i="3"/>
  <c r="F183" i="3" l="1"/>
  <c r="I183" i="3"/>
  <c r="J183" i="3"/>
  <c r="M183" i="3"/>
  <c r="N183" i="3" s="1"/>
  <c r="V183" i="3"/>
  <c r="AE183" i="3"/>
  <c r="W183" i="3" l="1"/>
  <c r="L183" i="3"/>
  <c r="U183" i="3" l="1"/>
  <c r="D184" i="3" s="1"/>
  <c r="AG184" i="3"/>
  <c r="AH184" i="3"/>
  <c r="Y182" i="3"/>
  <c r="G184" i="3" l="1"/>
  <c r="E184" i="3"/>
  <c r="H184" i="3" s="1"/>
  <c r="K184" i="3" l="1"/>
  <c r="I184" i="3"/>
  <c r="J184" i="3"/>
  <c r="M184" i="3"/>
  <c r="N184" i="3" s="1"/>
  <c r="F184" i="3"/>
  <c r="V184" i="3" l="1"/>
  <c r="W184" i="3" s="1"/>
  <c r="AE184" i="3"/>
  <c r="L184" i="3"/>
  <c r="AH185" i="3" l="1"/>
  <c r="AG185" i="3"/>
  <c r="U184" i="3"/>
  <c r="D185" i="3" s="1"/>
  <c r="Y183" i="3"/>
  <c r="E185" i="3" l="1"/>
  <c r="H185" i="3" s="1"/>
  <c r="K185" i="3" s="1"/>
  <c r="G185" i="3"/>
  <c r="F185" i="3" l="1"/>
  <c r="I185" i="3"/>
  <c r="J185" i="3"/>
  <c r="M185" i="3"/>
  <c r="N185" i="3" s="1"/>
  <c r="V185" i="3"/>
  <c r="AE185" i="3"/>
  <c r="W185" i="3" l="1"/>
  <c r="L185" i="3"/>
  <c r="U185" i="3" l="1"/>
  <c r="E186" i="3" s="1"/>
  <c r="H186" i="3" s="1"/>
  <c r="AH186" i="3"/>
  <c r="AG186" i="3"/>
  <c r="Y184" i="3"/>
  <c r="D186" i="3" l="1"/>
  <c r="G186" i="3" s="1"/>
  <c r="K186" i="3"/>
  <c r="F186" i="3" l="1"/>
  <c r="V186" i="3"/>
  <c r="AE186" i="3"/>
  <c r="I186" i="3"/>
  <c r="J186" i="3"/>
  <c r="M186" i="3"/>
  <c r="N186" i="3" s="1"/>
  <c r="L186" i="3" l="1"/>
  <c r="W186" i="3"/>
  <c r="AG187" i="3" l="1"/>
  <c r="AH187" i="3"/>
  <c r="U186" i="3"/>
  <c r="D187" i="3" s="1"/>
  <c r="Y185" i="3"/>
  <c r="G187" i="3" l="1"/>
  <c r="E187" i="3"/>
  <c r="H187" i="3" s="1"/>
  <c r="I187" i="3" l="1"/>
  <c r="J187" i="3"/>
  <c r="M187" i="3"/>
  <c r="N187" i="3" s="1"/>
  <c r="F187" i="3"/>
  <c r="K187" i="3"/>
  <c r="L187" i="3" l="1"/>
  <c r="V187" i="3"/>
  <c r="W187" i="3" s="1"/>
  <c r="AE187" i="3"/>
  <c r="AG188" i="3" l="1"/>
  <c r="U187" i="3"/>
  <c r="E188" i="3" s="1"/>
  <c r="H188" i="3" s="1"/>
  <c r="AH188" i="3"/>
  <c r="Y186" i="3"/>
  <c r="D188" i="3" l="1"/>
  <c r="G188" i="3" s="1"/>
  <c r="K188" i="3"/>
  <c r="F188" i="3" l="1"/>
  <c r="I188" i="3"/>
  <c r="J188" i="3"/>
  <c r="M188" i="3"/>
  <c r="N188" i="3" s="1"/>
  <c r="V188" i="3"/>
  <c r="AE188" i="3"/>
  <c r="W188" i="3" l="1"/>
  <c r="L188" i="3"/>
  <c r="U188" i="3" l="1"/>
  <c r="E189" i="3" s="1"/>
  <c r="H189" i="3" s="1"/>
  <c r="AH189" i="3"/>
  <c r="AG189" i="3"/>
  <c r="Y187" i="3"/>
  <c r="D189" i="3" l="1"/>
  <c r="G189" i="3" s="1"/>
  <c r="K189" i="3"/>
  <c r="F189" i="3" l="1"/>
  <c r="I189" i="3"/>
  <c r="J189" i="3"/>
  <c r="M189" i="3"/>
  <c r="N189" i="3" s="1"/>
  <c r="V189" i="3"/>
  <c r="AE189" i="3"/>
  <c r="W189" i="3" l="1"/>
  <c r="L189" i="3"/>
  <c r="AH190" i="3" l="1"/>
  <c r="U189" i="3"/>
  <c r="D190" i="3" s="1"/>
  <c r="AG190" i="3"/>
  <c r="Y188" i="3"/>
  <c r="G190" i="3" l="1"/>
  <c r="E190" i="3"/>
  <c r="H190" i="3" s="1"/>
  <c r="K190" i="3" l="1"/>
  <c r="I190" i="3"/>
  <c r="J190" i="3"/>
  <c r="M190" i="3"/>
  <c r="N190" i="3" s="1"/>
  <c r="F190" i="3"/>
  <c r="L190" i="3" l="1"/>
  <c r="V190" i="3"/>
  <c r="W190" i="3" s="1"/>
  <c r="AE190" i="3"/>
  <c r="AG191" i="3" l="1"/>
  <c r="U190" i="3"/>
  <c r="E191" i="3" s="1"/>
  <c r="H191" i="3" s="1"/>
  <c r="AH191" i="3"/>
  <c r="Y189" i="3"/>
  <c r="K191" i="3" l="1"/>
  <c r="D191" i="3"/>
  <c r="V191" i="3" l="1"/>
  <c r="AE191" i="3"/>
  <c r="F191" i="3"/>
  <c r="G191" i="3"/>
  <c r="I191" i="3" l="1"/>
  <c r="W191" i="3" s="1"/>
  <c r="J191" i="3"/>
  <c r="M191" i="3"/>
  <c r="N191" i="3" s="1"/>
  <c r="L191" i="3" l="1"/>
  <c r="AG192" i="3" l="1"/>
  <c r="U191" i="3"/>
  <c r="E192" i="3" s="1"/>
  <c r="H192" i="3" s="1"/>
  <c r="AH192" i="3"/>
  <c r="Y190" i="3"/>
  <c r="D192" i="3" l="1"/>
  <c r="G192" i="3" s="1"/>
  <c r="K192" i="3"/>
  <c r="F192" i="3" l="1"/>
  <c r="I192" i="3"/>
  <c r="J192" i="3"/>
  <c r="M192" i="3"/>
  <c r="N192" i="3" s="1"/>
  <c r="V192" i="3"/>
  <c r="AE192" i="3"/>
  <c r="W192" i="3" l="1"/>
  <c r="L192" i="3"/>
  <c r="U192" i="3" l="1"/>
  <c r="D193" i="3" s="1"/>
  <c r="AG193" i="3"/>
  <c r="AH193" i="3"/>
  <c r="Y191" i="3"/>
  <c r="G193" i="3" l="1"/>
  <c r="E193" i="3"/>
  <c r="H193" i="3" s="1"/>
  <c r="K193" i="3" l="1"/>
  <c r="I193" i="3"/>
  <c r="J193" i="3"/>
  <c r="M193" i="3"/>
  <c r="N193" i="3" s="1"/>
  <c r="F193" i="3"/>
  <c r="L193" i="3" l="1"/>
  <c r="V193" i="3"/>
  <c r="W193" i="3" s="1"/>
  <c r="AE193" i="3"/>
  <c r="AH194" i="3" l="1"/>
  <c r="AG194" i="3"/>
  <c r="U193" i="3"/>
  <c r="D194" i="3" s="1"/>
  <c r="Y192" i="3"/>
  <c r="E194" i="3" l="1"/>
  <c r="H194" i="3" s="1"/>
  <c r="K194" i="3" s="1"/>
  <c r="G194" i="3"/>
  <c r="F194" i="3" l="1"/>
  <c r="V194" i="3"/>
  <c r="AE194" i="3"/>
  <c r="I194" i="3"/>
  <c r="J194" i="3"/>
  <c r="M194" i="3"/>
  <c r="N194" i="3" s="1"/>
  <c r="W194" i="3" l="1"/>
  <c r="L194" i="3"/>
  <c r="U194" i="3" l="1"/>
  <c r="D195" i="3" s="1"/>
  <c r="AH195" i="3"/>
  <c r="AG195" i="3"/>
  <c r="Y193" i="3"/>
  <c r="E195" i="3" l="1"/>
  <c r="H195" i="3" s="1"/>
  <c r="K195" i="3" s="1"/>
  <c r="G195" i="3"/>
  <c r="F195" i="3" l="1"/>
  <c r="V195" i="3"/>
  <c r="AE195" i="3"/>
  <c r="I195" i="3"/>
  <c r="J195" i="3"/>
  <c r="M195" i="3"/>
  <c r="N195" i="3" s="1"/>
  <c r="W195" i="3" l="1"/>
  <c r="L195" i="3"/>
  <c r="AH196" i="3" l="1"/>
  <c r="U195" i="3"/>
  <c r="D196" i="3" s="1"/>
  <c r="AG196" i="3"/>
  <c r="Y194" i="3"/>
  <c r="E196" i="3" l="1"/>
  <c r="H196" i="3" s="1"/>
  <c r="K196" i="3" s="1"/>
  <c r="G196" i="3"/>
  <c r="F196" i="3" l="1"/>
  <c r="I196" i="3"/>
  <c r="J196" i="3"/>
  <c r="M196" i="3"/>
  <c r="N196" i="3" s="1"/>
  <c r="V196" i="3"/>
  <c r="AE196" i="3"/>
  <c r="L196" i="3" l="1"/>
  <c r="W196" i="3"/>
  <c r="U196" i="3" l="1"/>
  <c r="E197" i="3" s="1"/>
  <c r="H197" i="3" s="1"/>
  <c r="AG197" i="3"/>
  <c r="AH197" i="3"/>
  <c r="Y195" i="3"/>
  <c r="D197" i="3" l="1"/>
  <c r="G197" i="3" s="1"/>
  <c r="K197" i="3"/>
  <c r="F197" i="3" l="1"/>
  <c r="I197" i="3"/>
  <c r="J197" i="3"/>
  <c r="M197" i="3"/>
  <c r="N197" i="3" s="1"/>
  <c r="V197" i="3"/>
  <c r="AE197" i="3"/>
  <c r="W197" i="3" l="1"/>
  <c r="L197" i="3"/>
  <c r="AG198" i="3" l="1"/>
  <c r="AH198" i="3"/>
  <c r="U197" i="3"/>
  <c r="E198" i="3" s="1"/>
  <c r="H198" i="3" s="1"/>
  <c r="Y196" i="3"/>
  <c r="K198" i="3" l="1"/>
  <c r="D198" i="3"/>
  <c r="V198" i="3" l="1"/>
  <c r="AE198" i="3"/>
  <c r="F198" i="3"/>
  <c r="G198" i="3"/>
  <c r="I198" i="3" l="1"/>
  <c r="W198" i="3" s="1"/>
  <c r="J198" i="3"/>
  <c r="M198" i="3"/>
  <c r="N198" i="3" s="1"/>
  <c r="L198" i="3" l="1"/>
  <c r="AG199" i="3" l="1"/>
  <c r="U198" i="3"/>
  <c r="E199" i="3" s="1"/>
  <c r="H199" i="3" s="1"/>
  <c r="AH199" i="3"/>
  <c r="Y197" i="3"/>
  <c r="K199" i="3" l="1"/>
  <c r="D199" i="3"/>
  <c r="V199" i="3" l="1"/>
  <c r="AE199" i="3"/>
  <c r="F199" i="3"/>
  <c r="G199" i="3"/>
  <c r="I199" i="3" l="1"/>
  <c r="W199" i="3" s="1"/>
  <c r="J199" i="3"/>
  <c r="M199" i="3"/>
  <c r="N199" i="3" s="1"/>
  <c r="L199" i="3" l="1"/>
  <c r="AH200" i="3" l="1"/>
  <c r="AG200" i="3"/>
  <c r="U199" i="3"/>
  <c r="E200" i="3" s="1"/>
  <c r="H200" i="3" s="1"/>
  <c r="Y198" i="3"/>
  <c r="K200" i="3" l="1"/>
  <c r="D200" i="3"/>
  <c r="V200" i="3" l="1"/>
  <c r="AE200" i="3"/>
  <c r="F200" i="3"/>
  <c r="G200" i="3"/>
  <c r="I200" i="3" l="1"/>
  <c r="W200" i="3" s="1"/>
  <c r="J200" i="3"/>
  <c r="M200" i="3"/>
  <c r="N200" i="3" s="1"/>
  <c r="L200" i="3" l="1"/>
  <c r="AG201" i="3" l="1"/>
  <c r="U200" i="3"/>
  <c r="E201" i="3" s="1"/>
  <c r="H201" i="3" s="1"/>
  <c r="AH201" i="3"/>
  <c r="Y199" i="3"/>
  <c r="D201" i="3" l="1"/>
  <c r="G201" i="3" s="1"/>
  <c r="K201" i="3"/>
  <c r="F201" i="3" l="1"/>
  <c r="I201" i="3"/>
  <c r="J201" i="3"/>
  <c r="M201" i="3"/>
  <c r="N201" i="3" s="1"/>
  <c r="V201" i="3"/>
  <c r="AE201" i="3"/>
  <c r="W201" i="3" l="1"/>
  <c r="L201" i="3"/>
  <c r="U201" i="3" l="1"/>
  <c r="E202" i="3" s="1"/>
  <c r="H202" i="3" s="1"/>
  <c r="AG202" i="3"/>
  <c r="AH202" i="3"/>
  <c r="Y200" i="3"/>
  <c r="D202" i="3" l="1"/>
  <c r="G202" i="3" s="1"/>
  <c r="K202" i="3"/>
  <c r="F202" i="3" l="1"/>
  <c r="V202" i="3"/>
  <c r="AE202" i="3"/>
  <c r="I202" i="3"/>
  <c r="J202" i="3"/>
  <c r="M202" i="3"/>
  <c r="N202" i="3" s="1"/>
  <c r="W202" i="3" l="1"/>
  <c r="L202" i="3"/>
  <c r="U202" i="3" l="1"/>
  <c r="E203" i="3" s="1"/>
  <c r="H203" i="3" s="1"/>
  <c r="AH203" i="3"/>
  <c r="AG203" i="3"/>
  <c r="Y201" i="3"/>
  <c r="D203" i="3" l="1"/>
  <c r="G203" i="3" s="1"/>
  <c r="K203" i="3"/>
  <c r="A204" i="3" s="1"/>
  <c r="B204" i="3" s="1"/>
  <c r="Z204" i="3" l="1"/>
  <c r="P204" i="3"/>
  <c r="Q204" i="3" s="1"/>
  <c r="R204" i="3" s="1"/>
  <c r="S204" i="3" s="1"/>
  <c r="T204" i="3" s="1"/>
  <c r="AA204" i="3"/>
  <c r="AC204" i="3"/>
  <c r="F203" i="3"/>
  <c r="I203" i="3"/>
  <c r="J203" i="3"/>
  <c r="M203" i="3"/>
  <c r="N203" i="3" s="1"/>
  <c r="V203" i="3"/>
  <c r="AE203" i="3"/>
  <c r="W203" i="3" l="1"/>
  <c r="L203" i="3"/>
  <c r="U203" i="3" l="1"/>
  <c r="E204" i="3" s="1"/>
  <c r="H204" i="3" s="1"/>
  <c r="AH204" i="3"/>
  <c r="AG204" i="3"/>
  <c r="Y202" i="3"/>
  <c r="D204" i="3" l="1"/>
  <c r="G204" i="3" s="1"/>
  <c r="K204" i="3"/>
  <c r="F204" i="3" l="1"/>
  <c r="I204" i="3"/>
  <c r="J204" i="3"/>
  <c r="M204" i="3"/>
  <c r="N204" i="3" s="1"/>
  <c r="V204" i="3"/>
  <c r="A205" i="3"/>
  <c r="B205" i="3" s="1"/>
  <c r="AE204" i="3"/>
  <c r="W204" i="3" l="1"/>
  <c r="L204" i="3"/>
  <c r="AD204" i="3"/>
  <c r="AC205" i="3"/>
  <c r="P205" i="3"/>
  <c r="Q205" i="3" s="1"/>
  <c r="R205" i="3" s="1"/>
  <c r="S205" i="3" s="1"/>
  <c r="Z205" i="3"/>
  <c r="AA205" i="3"/>
  <c r="AD205" i="3"/>
  <c r="U204" i="3" l="1"/>
  <c r="Y203" i="3"/>
  <c r="T205" i="3"/>
  <c r="AH205" i="3" s="1"/>
  <c r="E205" i="3" l="1"/>
  <c r="H205" i="3" s="1"/>
  <c r="D205" i="3"/>
  <c r="AG205" i="3"/>
  <c r="K205" i="3" l="1"/>
  <c r="F205" i="3"/>
  <c r="G205" i="3"/>
  <c r="V205" i="3" l="1"/>
  <c r="A206" i="3"/>
  <c r="B206" i="3" s="1"/>
  <c r="AE205" i="3"/>
  <c r="I205" i="3"/>
  <c r="J205" i="3"/>
  <c r="M205" i="3"/>
  <c r="N205" i="3" s="1"/>
  <c r="W205" i="3" l="1"/>
  <c r="L205" i="3"/>
  <c r="AC206" i="3"/>
  <c r="P206" i="3"/>
  <c r="Q206" i="3" s="1"/>
  <c r="R206" i="3" s="1"/>
  <c r="S206" i="3" s="1"/>
  <c r="Z206" i="3"/>
  <c r="AA206" i="3"/>
  <c r="AD206" i="3"/>
  <c r="T206" i="3" l="1"/>
  <c r="AH206" i="3" s="1"/>
  <c r="U205" i="3"/>
  <c r="Y204" i="3"/>
  <c r="AG206" i="3" l="1"/>
  <c r="D206" i="3"/>
  <c r="E206" i="3"/>
  <c r="H206" i="3" s="1"/>
  <c r="F206" i="3" l="1"/>
  <c r="G206" i="3"/>
  <c r="K206" i="3"/>
  <c r="I206" i="3" l="1"/>
  <c r="J206" i="3"/>
  <c r="M206" i="3"/>
  <c r="N206" i="3" s="1"/>
  <c r="V206" i="3"/>
  <c r="A207" i="3"/>
  <c r="B207" i="3" s="1"/>
  <c r="AE206" i="3"/>
  <c r="W206" i="3" l="1"/>
  <c r="L206" i="3"/>
  <c r="P207" i="3"/>
  <c r="Q207" i="3" s="1"/>
  <c r="R207" i="3" s="1"/>
  <c r="S207" i="3" s="1"/>
  <c r="AC207" i="3"/>
  <c r="Z207" i="3"/>
  <c r="AA207" i="3"/>
  <c r="T207" i="3" l="1"/>
  <c r="U206" i="3"/>
  <c r="Y205" i="3"/>
  <c r="D207" i="3" l="1"/>
  <c r="G207" i="3" s="1"/>
  <c r="AH207" i="3"/>
  <c r="E207" i="3"/>
  <c r="H207" i="3" s="1"/>
  <c r="AG207" i="3"/>
  <c r="F207" i="3" l="1"/>
  <c r="I207" i="3"/>
  <c r="J207" i="3"/>
  <c r="AD207" i="3" s="1"/>
  <c r="M207" i="3"/>
  <c r="N207" i="3" s="1"/>
  <c r="K207" i="3"/>
  <c r="V207" i="3" l="1"/>
  <c r="W207" i="3" s="1"/>
  <c r="AE207" i="3"/>
  <c r="A208" i="3"/>
  <c r="B208" i="3" s="1"/>
  <c r="L207" i="3"/>
  <c r="Z208" i="3" l="1"/>
  <c r="AC208" i="3"/>
  <c r="AA208" i="3"/>
  <c r="P208" i="3"/>
  <c r="Q208" i="3" s="1"/>
  <c r="R208" i="3" s="1"/>
  <c r="S208" i="3" s="1"/>
  <c r="AD208" i="3"/>
  <c r="U207" i="3"/>
  <c r="Y206" i="3"/>
  <c r="T208" i="3" l="1"/>
  <c r="AG208" i="3" s="1"/>
  <c r="AH208" i="3" l="1"/>
  <c r="D208" i="3"/>
  <c r="G208" i="3" s="1"/>
  <c r="E208" i="3"/>
  <c r="H208" i="3" s="1"/>
  <c r="K208" i="3" s="1"/>
  <c r="F208" i="3" l="1"/>
  <c r="I208" i="3"/>
  <c r="J208" i="3"/>
  <c r="M208" i="3"/>
  <c r="N208" i="3" s="1"/>
  <c r="V208" i="3"/>
  <c r="A209" i="3"/>
  <c r="B209" i="3" s="1"/>
  <c r="AE208" i="3"/>
  <c r="W208" i="3" l="1"/>
  <c r="L208" i="3"/>
  <c r="P209" i="3"/>
  <c r="Q209" i="3" s="1"/>
  <c r="R209" i="3" s="1"/>
  <c r="S209" i="3" s="1"/>
  <c r="AC209" i="3"/>
  <c r="AD209" i="3"/>
  <c r="AA209" i="3"/>
  <c r="Z209" i="3"/>
  <c r="U208" i="3" l="1"/>
  <c r="Y207" i="3"/>
  <c r="T209" i="3"/>
  <c r="AH209" i="3" s="1"/>
  <c r="AG209" i="3" l="1"/>
  <c r="D209" i="3"/>
  <c r="G209" i="3" s="1"/>
  <c r="E209" i="3"/>
  <c r="H209" i="3" s="1"/>
  <c r="F209" i="3" l="1"/>
  <c r="K209" i="3"/>
  <c r="I209" i="3"/>
  <c r="J209" i="3"/>
  <c r="M209" i="3"/>
  <c r="N209" i="3" s="1"/>
  <c r="L209" i="3" l="1"/>
  <c r="V209" i="3"/>
  <c r="W209" i="3" s="1"/>
  <c r="A210" i="3"/>
  <c r="B210" i="3" s="1"/>
  <c r="AE209" i="3"/>
  <c r="AC210" i="3" l="1"/>
  <c r="Z210" i="3"/>
  <c r="P210" i="3"/>
  <c r="Q210" i="3" s="1"/>
  <c r="R210" i="3" s="1"/>
  <c r="S210" i="3" s="1"/>
  <c r="AA210" i="3"/>
  <c r="AD210" i="3"/>
  <c r="U209" i="3"/>
  <c r="Y208" i="3"/>
  <c r="T210" i="3" l="1"/>
  <c r="AG210" i="3" s="1"/>
  <c r="AH210" i="3" l="1"/>
  <c r="D210" i="3"/>
  <c r="E210" i="3"/>
  <c r="H210" i="3" s="1"/>
  <c r="F210" i="3" l="1"/>
  <c r="G210" i="3"/>
  <c r="K210" i="3"/>
  <c r="V210" i="3" l="1"/>
  <c r="AE210" i="3"/>
  <c r="A211" i="3"/>
  <c r="B211" i="3" s="1"/>
  <c r="I210" i="3"/>
  <c r="J210" i="3"/>
  <c r="M210" i="3"/>
  <c r="N210" i="3" s="1"/>
  <c r="W210" i="3" l="1"/>
  <c r="AC211" i="3"/>
  <c r="Z211" i="3"/>
  <c r="P211" i="3"/>
  <c r="Q211" i="3" s="1"/>
  <c r="R211" i="3" s="1"/>
  <c r="S211" i="3" s="1"/>
  <c r="AA211" i="3"/>
  <c r="L210" i="3"/>
  <c r="T211" i="3" l="1"/>
  <c r="AG211" i="3" s="1"/>
  <c r="U210" i="3"/>
  <c r="Y209" i="3"/>
  <c r="E211" i="3" l="1"/>
  <c r="H211" i="3" s="1"/>
  <c r="D211" i="3"/>
  <c r="AH211" i="3"/>
  <c r="K211" i="3" l="1"/>
  <c r="F211" i="3"/>
  <c r="G211" i="3"/>
  <c r="I211" i="3" l="1"/>
  <c r="J211" i="3"/>
  <c r="AD211" i="3" s="1"/>
  <c r="M211" i="3"/>
  <c r="N211" i="3" s="1"/>
  <c r="V211" i="3"/>
  <c r="AE211" i="3"/>
  <c r="A212" i="3"/>
  <c r="B212" i="3" s="1"/>
  <c r="W211" i="3" l="1"/>
  <c r="AA212" i="3"/>
  <c r="Z212" i="3"/>
  <c r="P212" i="3"/>
  <c r="Q212" i="3" s="1"/>
  <c r="R212" i="3" s="1"/>
  <c r="S212" i="3" s="1"/>
  <c r="AC212" i="3"/>
  <c r="AD212" i="3"/>
  <c r="L211" i="3"/>
  <c r="U211" i="3" l="1"/>
  <c r="Y210" i="3"/>
  <c r="T212" i="3"/>
  <c r="E212" i="3" l="1"/>
  <c r="H212" i="3" s="1"/>
  <c r="K212" i="3" s="1"/>
  <c r="AH212" i="3"/>
  <c r="AG212" i="3"/>
  <c r="D212" i="3"/>
  <c r="F212" i="3" l="1"/>
  <c r="G212" i="3"/>
  <c r="V212" i="3"/>
  <c r="A213" i="3"/>
  <c r="B213" i="3" s="1"/>
  <c r="AE212" i="3"/>
  <c r="AD213" i="3" l="1"/>
  <c r="AC213" i="3"/>
  <c r="P213" i="3"/>
  <c r="Q213" i="3" s="1"/>
  <c r="R213" i="3" s="1"/>
  <c r="S213" i="3" s="1"/>
  <c r="AA213" i="3"/>
  <c r="Z213" i="3"/>
  <c r="I212" i="3"/>
  <c r="W212" i="3" s="1"/>
  <c r="J212" i="3"/>
  <c r="M212" i="3"/>
  <c r="N212" i="3" s="1"/>
  <c r="T213" i="3" l="1"/>
  <c r="L212" i="3"/>
  <c r="U212" i="3" l="1"/>
  <c r="E213" i="3" s="1"/>
  <c r="H213" i="3" s="1"/>
  <c r="AH213" i="3"/>
  <c r="AG213" i="3"/>
  <c r="Y211" i="3"/>
  <c r="D213" i="3" l="1"/>
  <c r="G213" i="3" s="1"/>
  <c r="K213" i="3"/>
  <c r="F213" i="3" l="1"/>
  <c r="I213" i="3"/>
  <c r="J213" i="3"/>
  <c r="M213" i="3"/>
  <c r="N213" i="3" s="1"/>
  <c r="V213" i="3"/>
  <c r="A214" i="3"/>
  <c r="B214" i="3" s="1"/>
  <c r="AE213" i="3"/>
  <c r="W213" i="3" l="1"/>
  <c r="L213" i="3"/>
  <c r="P214" i="3"/>
  <c r="Q214" i="3" s="1"/>
  <c r="R214" i="3" s="1"/>
  <c r="S214" i="3" s="1"/>
  <c r="AC214" i="3"/>
  <c r="AA214" i="3"/>
  <c r="Z214" i="3"/>
  <c r="U213" i="3" l="1"/>
  <c r="Y212" i="3"/>
  <c r="T214" i="3"/>
  <c r="D214" i="3" l="1"/>
  <c r="G214" i="3" s="1"/>
  <c r="E214" i="3"/>
  <c r="H214" i="3" s="1"/>
  <c r="AG214" i="3"/>
  <c r="AH214" i="3"/>
  <c r="F214" i="3" l="1"/>
  <c r="I214" i="3"/>
  <c r="J214" i="3"/>
  <c r="M214" i="3"/>
  <c r="N214" i="3" s="1"/>
  <c r="K214" i="3"/>
  <c r="AE214" i="3" s="1"/>
  <c r="V214" i="3" l="1"/>
  <c r="W214" i="3" s="1"/>
  <c r="A215" i="3"/>
  <c r="B215" i="3" s="1"/>
  <c r="L214" i="3"/>
  <c r="AD214" i="3"/>
  <c r="U214" i="3" l="1"/>
  <c r="Y213" i="3"/>
  <c r="AC215" i="3"/>
  <c r="AD215" i="3"/>
  <c r="Z215" i="3"/>
  <c r="P215" i="3"/>
  <c r="Q215" i="3" s="1"/>
  <c r="R215" i="3" s="1"/>
  <c r="S215" i="3" s="1"/>
  <c r="AA215" i="3"/>
  <c r="T215" i="3" l="1"/>
  <c r="AH215" i="3" s="1"/>
  <c r="D215" i="3" l="1"/>
  <c r="G215" i="3" s="1"/>
  <c r="E215" i="3"/>
  <c r="H215" i="3" s="1"/>
  <c r="K215" i="3" s="1"/>
  <c r="AE215" i="3" s="1"/>
  <c r="AG215" i="3"/>
  <c r="F215" i="3" l="1"/>
  <c r="V215" i="3"/>
  <c r="A216" i="3"/>
  <c r="B216" i="3" s="1"/>
  <c r="I215" i="3"/>
  <c r="J215" i="3"/>
  <c r="M215" i="3"/>
  <c r="N215" i="3" s="1"/>
  <c r="W215" i="3" l="1"/>
  <c r="L215" i="3"/>
  <c r="P216" i="3"/>
  <c r="Q216" i="3" s="1"/>
  <c r="R216" i="3" s="1"/>
  <c r="S216" i="3" s="1"/>
  <c r="Z216" i="3"/>
  <c r="AC216" i="3"/>
  <c r="AD216" i="3"/>
  <c r="AA216" i="3"/>
  <c r="U215" i="3" l="1"/>
  <c r="Y214" i="3"/>
  <c r="T216" i="3"/>
  <c r="AH216" i="3" s="1"/>
  <c r="D216" i="3" l="1"/>
  <c r="G216" i="3" s="1"/>
  <c r="AG216" i="3"/>
  <c r="E216" i="3"/>
  <c r="H216" i="3" s="1"/>
  <c r="K216" i="3" l="1"/>
  <c r="AE216" i="3" s="1"/>
  <c r="I216" i="3"/>
  <c r="J216" i="3"/>
  <c r="M216" i="3"/>
  <c r="N216" i="3" s="1"/>
  <c r="F216" i="3"/>
  <c r="V216" i="3" l="1"/>
  <c r="W216" i="3" s="1"/>
  <c r="A217" i="3"/>
  <c r="B217" i="3" s="1"/>
  <c r="L216" i="3"/>
  <c r="U216" i="3" l="1"/>
  <c r="Y215" i="3"/>
  <c r="P217" i="3"/>
  <c r="Q217" i="3" s="1"/>
  <c r="R217" i="3" s="1"/>
  <c r="S217" i="3" s="1"/>
  <c r="AC217" i="3"/>
  <c r="AA217" i="3"/>
  <c r="Z217" i="3"/>
  <c r="T217" i="3" l="1"/>
  <c r="D217" i="3" s="1"/>
  <c r="G217" i="3" l="1"/>
  <c r="AG217" i="3"/>
  <c r="AH217" i="3"/>
  <c r="E217" i="3"/>
  <c r="H217" i="3" s="1"/>
  <c r="I217" i="3" l="1"/>
  <c r="J217" i="3"/>
  <c r="AD217" i="3" s="1"/>
  <c r="M217" i="3"/>
  <c r="N217" i="3" s="1"/>
  <c r="K217" i="3"/>
  <c r="AE217" i="3" s="1"/>
  <c r="F217" i="3"/>
  <c r="V217" i="3" l="1"/>
  <c r="W217" i="3" s="1"/>
  <c r="A218" i="3"/>
  <c r="B218" i="3" s="1"/>
  <c r="L217" i="3"/>
  <c r="U217" i="3" l="1"/>
  <c r="Y216" i="3"/>
  <c r="AC218" i="3"/>
  <c r="AA218" i="3"/>
  <c r="Z218" i="3"/>
  <c r="P218" i="3"/>
  <c r="Q218" i="3" s="1"/>
  <c r="R218" i="3" s="1"/>
  <c r="S218" i="3" s="1"/>
  <c r="AD218" i="3"/>
  <c r="T218" i="3" l="1"/>
  <c r="AG218" i="3" s="1"/>
  <c r="AH218" i="3" l="1"/>
  <c r="E218" i="3"/>
  <c r="H218" i="3" s="1"/>
  <c r="K218" i="3" s="1"/>
  <c r="AE218" i="3" s="1"/>
  <c r="D218" i="3"/>
  <c r="G218" i="3" s="1"/>
  <c r="F218" i="3" l="1"/>
  <c r="I218" i="3"/>
  <c r="J218" i="3"/>
  <c r="M218" i="3"/>
  <c r="N218" i="3" s="1"/>
  <c r="V218" i="3"/>
  <c r="A219" i="3"/>
  <c r="B219" i="3" s="1"/>
  <c r="W218" i="3" l="1"/>
  <c r="L218" i="3"/>
  <c r="P219" i="3"/>
  <c r="Q219" i="3" s="1"/>
  <c r="R219" i="3" s="1"/>
  <c r="S219" i="3" s="1"/>
  <c r="AD219" i="3"/>
  <c r="AC219" i="3"/>
  <c r="AA219" i="3"/>
  <c r="Z219" i="3"/>
  <c r="U218" i="3" l="1"/>
  <c r="Y217" i="3"/>
  <c r="T219" i="3"/>
  <c r="AG219" i="3" s="1"/>
  <c r="D219" i="3" l="1"/>
  <c r="E219" i="3"/>
  <c r="H219" i="3" s="1"/>
  <c r="AH219" i="3"/>
  <c r="F219" i="3" l="1"/>
  <c r="G219" i="3"/>
  <c r="K219" i="3"/>
  <c r="AE219" i="3" s="1"/>
  <c r="I219" i="3" l="1"/>
  <c r="J219" i="3"/>
  <c r="M219" i="3"/>
  <c r="N219" i="3" s="1"/>
  <c r="V219" i="3"/>
  <c r="A220" i="3"/>
  <c r="B220" i="3" s="1"/>
  <c r="W219" i="3" l="1"/>
  <c r="L219" i="3"/>
  <c r="AC220" i="3"/>
  <c r="AD220" i="3"/>
  <c r="Z220" i="3"/>
  <c r="P220" i="3"/>
  <c r="Q220" i="3" s="1"/>
  <c r="R220" i="3" s="1"/>
  <c r="S220" i="3" s="1"/>
  <c r="AA220" i="3"/>
  <c r="U219" i="3" l="1"/>
  <c r="Y218" i="3"/>
  <c r="T220" i="3"/>
  <c r="E220" i="3" l="1"/>
  <c r="H220" i="3" s="1"/>
  <c r="K220" i="3" s="1"/>
  <c r="AE220" i="3" s="1"/>
  <c r="D220" i="3"/>
  <c r="G220" i="3" s="1"/>
  <c r="AG220" i="3"/>
  <c r="AH220" i="3"/>
  <c r="F220" i="3" l="1"/>
  <c r="I220" i="3"/>
  <c r="J220" i="3"/>
  <c r="M220" i="3"/>
  <c r="N220" i="3" s="1"/>
  <c r="V220" i="3"/>
  <c r="A221" i="3"/>
  <c r="B221" i="3" s="1"/>
  <c r="W220" i="3" l="1"/>
  <c r="L220" i="3"/>
  <c r="AA221" i="3"/>
  <c r="AC221" i="3"/>
  <c r="P221" i="3"/>
  <c r="Q221" i="3" s="1"/>
  <c r="R221" i="3" s="1"/>
  <c r="S221" i="3" s="1"/>
  <c r="Z221" i="3"/>
  <c r="T221" i="3" l="1"/>
  <c r="U220" i="3"/>
  <c r="Y219" i="3"/>
  <c r="D221" i="3" l="1"/>
  <c r="G221" i="3" s="1"/>
  <c r="AH221" i="3"/>
  <c r="AG221" i="3"/>
  <c r="E221" i="3"/>
  <c r="H221" i="3" s="1"/>
  <c r="K221" i="3" l="1"/>
  <c r="AE221" i="3" s="1"/>
  <c r="I221" i="3"/>
  <c r="J221" i="3"/>
  <c r="AD221" i="3" s="1"/>
  <c r="M221" i="3"/>
  <c r="N221" i="3" s="1"/>
  <c r="F221" i="3"/>
  <c r="L221" i="3" l="1"/>
  <c r="V221" i="3"/>
  <c r="W221" i="3" s="1"/>
  <c r="A222" i="3"/>
  <c r="B222" i="3" s="1"/>
  <c r="P222" i="3" l="1"/>
  <c r="Q222" i="3" s="1"/>
  <c r="R222" i="3" s="1"/>
  <c r="S222" i="3" s="1"/>
  <c r="AC222" i="3"/>
  <c r="Z222" i="3"/>
  <c r="AA222" i="3"/>
  <c r="AD222" i="3"/>
  <c r="U221" i="3"/>
  <c r="Y220" i="3"/>
  <c r="T222" i="3" l="1"/>
  <c r="AH222" i="3" s="1"/>
  <c r="E222" i="3" l="1"/>
  <c r="H222" i="3" s="1"/>
  <c r="AG222" i="3"/>
  <c r="D222" i="3"/>
  <c r="F222" i="3" l="1"/>
  <c r="G222" i="3"/>
  <c r="K222" i="3"/>
  <c r="AE222" i="3" s="1"/>
  <c r="I222" i="3" l="1"/>
  <c r="J222" i="3"/>
  <c r="M222" i="3"/>
  <c r="N222" i="3" s="1"/>
  <c r="V222" i="3"/>
  <c r="A223" i="3"/>
  <c r="B223" i="3" s="1"/>
  <c r="W222" i="3" l="1"/>
  <c r="L222" i="3"/>
  <c r="P223" i="3"/>
  <c r="Q223" i="3" s="1"/>
  <c r="R223" i="3" s="1"/>
  <c r="S223" i="3" s="1"/>
  <c r="Z223" i="3"/>
  <c r="AC223" i="3"/>
  <c r="AD223" i="3"/>
  <c r="AA223" i="3"/>
  <c r="U222" i="3" l="1"/>
  <c r="Y221" i="3"/>
  <c r="T223" i="3"/>
  <c r="D223" i="3" l="1"/>
  <c r="G223" i="3" s="1"/>
  <c r="AG223" i="3"/>
  <c r="AH223" i="3"/>
  <c r="E223" i="3"/>
  <c r="H223" i="3" s="1"/>
  <c r="K223" i="3" s="1"/>
  <c r="AE223" i="3" s="1"/>
  <c r="F223" i="3" l="1"/>
  <c r="I223" i="3"/>
  <c r="J223" i="3"/>
  <c r="M223" i="3"/>
  <c r="N223" i="3" s="1"/>
  <c r="V223" i="3"/>
  <c r="A224" i="3"/>
  <c r="B224" i="3" s="1"/>
  <c r="W223" i="3" l="1"/>
  <c r="L223" i="3"/>
  <c r="Z224" i="3"/>
  <c r="P224" i="3"/>
  <c r="Q224" i="3" s="1"/>
  <c r="R224" i="3" s="1"/>
  <c r="S224" i="3" s="1"/>
  <c r="AC224" i="3"/>
  <c r="AA224" i="3"/>
  <c r="U223" i="3" l="1"/>
  <c r="Y222" i="3"/>
  <c r="T224" i="3"/>
  <c r="D224" i="3" l="1"/>
  <c r="G224" i="3" s="1"/>
  <c r="AG224" i="3"/>
  <c r="AH224" i="3"/>
  <c r="E224" i="3"/>
  <c r="H224" i="3" s="1"/>
  <c r="K224" i="3" s="1"/>
  <c r="AE224" i="3" s="1"/>
  <c r="F224" i="3" l="1"/>
  <c r="I224" i="3"/>
  <c r="J224" i="3"/>
  <c r="M224" i="3"/>
  <c r="N224" i="3" s="1"/>
  <c r="V224" i="3"/>
  <c r="A225" i="3"/>
  <c r="B225" i="3" s="1"/>
  <c r="W224" i="3" l="1"/>
  <c r="L224" i="3"/>
  <c r="AD224" i="3"/>
  <c r="AC225" i="3"/>
  <c r="P225" i="3"/>
  <c r="Q225" i="3" s="1"/>
  <c r="R225" i="3" s="1"/>
  <c r="S225" i="3" s="1"/>
  <c r="AA225" i="3"/>
  <c r="AD225" i="3"/>
  <c r="Z225" i="3"/>
  <c r="U224" i="3" l="1"/>
  <c r="Y223" i="3"/>
  <c r="T225" i="3"/>
  <c r="AG225" i="3" s="1"/>
  <c r="AH225" i="3" l="1"/>
  <c r="E225" i="3"/>
  <c r="H225" i="3" s="1"/>
  <c r="D225" i="3"/>
  <c r="K225" i="3" l="1"/>
  <c r="AE225" i="3" s="1"/>
  <c r="F225" i="3"/>
  <c r="G225" i="3"/>
  <c r="I225" i="3" l="1"/>
  <c r="J225" i="3"/>
  <c r="M225" i="3"/>
  <c r="N225" i="3" s="1"/>
  <c r="V225" i="3"/>
  <c r="A226" i="3"/>
  <c r="B226" i="3" s="1"/>
  <c r="W225" i="3" l="1"/>
  <c r="L225" i="3"/>
  <c r="AD226" i="3"/>
  <c r="Z226" i="3"/>
  <c r="AA226" i="3"/>
  <c r="P226" i="3"/>
  <c r="Q226" i="3" s="1"/>
  <c r="R226" i="3" s="1"/>
  <c r="S226" i="3" s="1"/>
  <c r="AC226" i="3"/>
  <c r="U225" i="3" l="1"/>
  <c r="Y224" i="3"/>
  <c r="T226" i="3"/>
  <c r="D226" i="3" l="1"/>
  <c r="G226" i="3" s="1"/>
  <c r="AH226" i="3"/>
  <c r="AG226" i="3"/>
  <c r="E226" i="3"/>
  <c r="H226" i="3" s="1"/>
  <c r="F226" i="3" l="1"/>
  <c r="I226" i="3"/>
  <c r="J226" i="3"/>
  <c r="M226" i="3"/>
  <c r="N226" i="3" s="1"/>
  <c r="K226" i="3"/>
  <c r="AE226" i="3" s="1"/>
  <c r="V226" i="3" l="1"/>
  <c r="W226" i="3" s="1"/>
  <c r="A227" i="3"/>
  <c r="B227" i="3" s="1"/>
  <c r="L226" i="3"/>
  <c r="U226" i="3" l="1"/>
  <c r="Y225" i="3"/>
  <c r="P227" i="3"/>
  <c r="Q227" i="3" s="1"/>
  <c r="R227" i="3" s="1"/>
  <c r="S227" i="3" s="1"/>
  <c r="AA227" i="3"/>
  <c r="Z227" i="3"/>
  <c r="AC227" i="3"/>
  <c r="T227" i="3" l="1"/>
  <c r="D227" i="3" s="1"/>
  <c r="E227" i="3" l="1"/>
  <c r="H227" i="3" s="1"/>
  <c r="K227" i="3" s="1"/>
  <c r="AE227" i="3" s="1"/>
  <c r="AH227" i="3"/>
  <c r="AG227" i="3"/>
  <c r="G227" i="3"/>
  <c r="F227" i="3" l="1"/>
  <c r="V227" i="3"/>
  <c r="A228" i="3"/>
  <c r="B228" i="3" s="1"/>
  <c r="I227" i="3"/>
  <c r="J227" i="3"/>
  <c r="AD227" i="3" s="1"/>
  <c r="M227" i="3"/>
  <c r="N227" i="3" s="1"/>
  <c r="L227" i="3" l="1"/>
  <c r="W227" i="3"/>
  <c r="AD228" i="3"/>
  <c r="AA228" i="3"/>
  <c r="Z228" i="3"/>
  <c r="P228" i="3"/>
  <c r="Q228" i="3" s="1"/>
  <c r="R228" i="3" s="1"/>
  <c r="S228" i="3" s="1"/>
  <c r="AC228" i="3"/>
  <c r="T228" i="3" l="1"/>
  <c r="AG228" i="3" s="1"/>
  <c r="U227" i="3"/>
  <c r="Y226" i="3"/>
  <c r="AH228" i="3" l="1"/>
  <c r="E228" i="3"/>
  <c r="H228" i="3" s="1"/>
  <c r="D228" i="3"/>
  <c r="K228" i="3" l="1"/>
  <c r="AE228" i="3" s="1"/>
  <c r="F228" i="3"/>
  <c r="G228" i="3"/>
  <c r="V228" i="3" l="1"/>
  <c r="A229" i="3"/>
  <c r="B229" i="3" s="1"/>
  <c r="I228" i="3"/>
  <c r="J228" i="3"/>
  <c r="M228" i="3"/>
  <c r="N228" i="3" s="1"/>
  <c r="W228" i="3" l="1"/>
  <c r="L228" i="3"/>
  <c r="AA229" i="3"/>
  <c r="AD229" i="3"/>
  <c r="AC229" i="3"/>
  <c r="P229" i="3"/>
  <c r="Q229" i="3" s="1"/>
  <c r="R229" i="3" s="1"/>
  <c r="S229" i="3" s="1"/>
  <c r="Z229" i="3"/>
  <c r="U228" i="3" l="1"/>
  <c r="Y227" i="3"/>
  <c r="T229" i="3"/>
  <c r="AH229" i="3" s="1"/>
  <c r="D229" i="3" l="1"/>
  <c r="E229" i="3"/>
  <c r="H229" i="3" s="1"/>
  <c r="AG229" i="3"/>
  <c r="K229" i="3" l="1"/>
  <c r="AE229" i="3" s="1"/>
  <c r="F229" i="3"/>
  <c r="G229" i="3"/>
  <c r="V229" i="3" l="1"/>
  <c r="A230" i="3"/>
  <c r="B230" i="3" s="1"/>
  <c r="I229" i="3"/>
  <c r="J229" i="3"/>
  <c r="M229" i="3"/>
  <c r="N229" i="3" s="1"/>
  <c r="L229" i="3" l="1"/>
  <c r="W229" i="3"/>
  <c r="P230" i="3"/>
  <c r="Q230" i="3" s="1"/>
  <c r="R230" i="3" s="1"/>
  <c r="S230" i="3" s="1"/>
  <c r="AA230" i="3"/>
  <c r="AC230" i="3"/>
  <c r="AD230" i="3"/>
  <c r="Z230" i="3"/>
  <c r="U229" i="3" l="1"/>
  <c r="Y228" i="3"/>
  <c r="T230" i="3"/>
  <c r="AH230" i="3" s="1"/>
  <c r="AG230" i="3" l="1"/>
  <c r="D230" i="3"/>
  <c r="E230" i="3"/>
  <c r="H230" i="3" s="1"/>
  <c r="K230" i="3" l="1"/>
  <c r="AE230" i="3" s="1"/>
  <c r="F230" i="3"/>
  <c r="G230" i="3"/>
  <c r="I230" i="3" l="1"/>
  <c r="J230" i="3"/>
  <c r="M230" i="3"/>
  <c r="N230" i="3" s="1"/>
  <c r="V230" i="3"/>
  <c r="A231" i="3"/>
  <c r="B231" i="3" s="1"/>
  <c r="W230" i="3" l="1"/>
  <c r="L230" i="3"/>
  <c r="P231" i="3"/>
  <c r="Q231" i="3" s="1"/>
  <c r="R231" i="3" s="1"/>
  <c r="S231" i="3" s="1"/>
  <c r="AA231" i="3"/>
  <c r="Z231" i="3"/>
  <c r="AC231" i="3"/>
  <c r="T231" i="3" l="1"/>
  <c r="U230" i="3"/>
  <c r="Y229" i="3"/>
  <c r="D231" i="3" l="1"/>
  <c r="G231" i="3" s="1"/>
  <c r="E231" i="3"/>
  <c r="H231" i="3" s="1"/>
  <c r="K231" i="3" s="1"/>
  <c r="AE231" i="3" s="1"/>
  <c r="AG231" i="3"/>
  <c r="AH231" i="3"/>
  <c r="F231" i="3" l="1"/>
  <c r="V231" i="3"/>
  <c r="A232" i="3"/>
  <c r="B232" i="3" s="1"/>
  <c r="I231" i="3"/>
  <c r="J231" i="3"/>
  <c r="AD231" i="3" s="1"/>
  <c r="M231" i="3"/>
  <c r="N231" i="3" s="1"/>
  <c r="L231" i="3" l="1"/>
  <c r="W231" i="3"/>
  <c r="P232" i="3"/>
  <c r="Q232" i="3" s="1"/>
  <c r="R232" i="3" s="1"/>
  <c r="S232" i="3" s="1"/>
  <c r="AD232" i="3"/>
  <c r="Z232" i="3"/>
  <c r="AA232" i="3"/>
  <c r="AC232" i="3"/>
  <c r="U231" i="3" l="1"/>
  <c r="Y230" i="3"/>
  <c r="T232" i="3"/>
  <c r="D232" i="3" l="1"/>
  <c r="G232" i="3" s="1"/>
  <c r="AG232" i="3"/>
  <c r="E232" i="3"/>
  <c r="H232" i="3" s="1"/>
  <c r="AH232" i="3"/>
  <c r="F232" i="3" l="1"/>
  <c r="I232" i="3"/>
  <c r="J232" i="3"/>
  <c r="M232" i="3"/>
  <c r="N232" i="3" s="1"/>
  <c r="K232" i="3"/>
  <c r="AE232" i="3" s="1"/>
  <c r="V232" i="3" l="1"/>
  <c r="W232" i="3" s="1"/>
  <c r="A233" i="3"/>
  <c r="B233" i="3" s="1"/>
  <c r="L232" i="3"/>
  <c r="U232" i="3" l="1"/>
  <c r="Y231" i="3"/>
  <c r="AA233" i="3"/>
  <c r="AD233" i="3"/>
  <c r="AC233" i="3"/>
  <c r="P233" i="3"/>
  <c r="Q233" i="3" s="1"/>
  <c r="R233" i="3" s="1"/>
  <c r="S233" i="3" s="1"/>
  <c r="Z233" i="3"/>
  <c r="T233" i="3" l="1"/>
  <c r="D233" i="3" s="1"/>
  <c r="AG233" i="3" l="1"/>
  <c r="AH233" i="3"/>
  <c r="E233" i="3"/>
  <c r="H233" i="3" s="1"/>
  <c r="K233" i="3" s="1"/>
  <c r="AE233" i="3" s="1"/>
  <c r="G233" i="3"/>
  <c r="F233" i="3" l="1"/>
  <c r="I233" i="3"/>
  <c r="J233" i="3"/>
  <c r="M233" i="3"/>
  <c r="N233" i="3" s="1"/>
  <c r="V233" i="3"/>
  <c r="A234" i="3"/>
  <c r="B234" i="3" s="1"/>
  <c r="W233" i="3" l="1"/>
  <c r="L233" i="3"/>
  <c r="Z234" i="3"/>
  <c r="P234" i="3"/>
  <c r="Q234" i="3" s="1"/>
  <c r="R234" i="3" s="1"/>
  <c r="S234" i="3" s="1"/>
  <c r="AC234" i="3"/>
  <c r="AA234" i="3"/>
  <c r="U233" i="3" l="1"/>
  <c r="Y232" i="3"/>
  <c r="T234" i="3"/>
  <c r="E234" i="3" l="1"/>
  <c r="H234" i="3" s="1"/>
  <c r="K234" i="3" s="1"/>
  <c r="AE234" i="3" s="1"/>
  <c r="AG234" i="3"/>
  <c r="AH234" i="3"/>
  <c r="D234" i="3"/>
  <c r="G234" i="3" s="1"/>
  <c r="F234" i="3" l="1"/>
  <c r="I234" i="3"/>
  <c r="J234" i="3"/>
  <c r="M234" i="3"/>
  <c r="N234" i="3" s="1"/>
  <c r="V234" i="3"/>
  <c r="A235" i="3"/>
  <c r="B235" i="3" s="1"/>
  <c r="L234" i="3" l="1"/>
  <c r="AD234" i="3"/>
  <c r="W234" i="3"/>
  <c r="AC235" i="3"/>
  <c r="AA235" i="3"/>
  <c r="Z235" i="3"/>
  <c r="P235" i="3"/>
  <c r="Q235" i="3" s="1"/>
  <c r="R235" i="3" s="1"/>
  <c r="S235" i="3" s="1"/>
  <c r="AD235" i="3"/>
  <c r="U234" i="3" l="1"/>
  <c r="Y233" i="3"/>
  <c r="T235" i="3"/>
  <c r="E235" i="3" l="1"/>
  <c r="H235" i="3" s="1"/>
  <c r="K235" i="3" s="1"/>
  <c r="AE235" i="3" s="1"/>
  <c r="AG235" i="3"/>
  <c r="D235" i="3"/>
  <c r="AH235" i="3"/>
  <c r="F235" i="3" l="1"/>
  <c r="G235" i="3"/>
  <c r="V235" i="3"/>
  <c r="A236" i="3"/>
  <c r="B236" i="3" s="1"/>
  <c r="AD236" i="3" l="1"/>
  <c r="P236" i="3"/>
  <c r="Q236" i="3" s="1"/>
  <c r="R236" i="3" s="1"/>
  <c r="S236" i="3" s="1"/>
  <c r="AA236" i="3"/>
  <c r="Z236" i="3"/>
  <c r="AC236" i="3"/>
  <c r="I235" i="3"/>
  <c r="W235" i="3" s="1"/>
  <c r="J235" i="3"/>
  <c r="M235" i="3"/>
  <c r="N235" i="3" s="1"/>
  <c r="T236" i="3" l="1"/>
  <c r="L235" i="3"/>
  <c r="U235" i="3" l="1"/>
  <c r="D236" i="3" s="1"/>
  <c r="AH236" i="3"/>
  <c r="AG236" i="3"/>
  <c r="Y234" i="3"/>
  <c r="E236" i="3" l="1"/>
  <c r="H236" i="3" s="1"/>
  <c r="K236" i="3" s="1"/>
  <c r="AE236" i="3" s="1"/>
  <c r="G236" i="3"/>
  <c r="F236" i="3" l="1"/>
  <c r="I236" i="3"/>
  <c r="J236" i="3"/>
  <c r="M236" i="3"/>
  <c r="N236" i="3" s="1"/>
  <c r="V236" i="3"/>
  <c r="A237" i="3"/>
  <c r="B237" i="3" s="1"/>
  <c r="W236" i="3" l="1"/>
  <c r="L236" i="3"/>
  <c r="P237" i="3"/>
  <c r="Q237" i="3" s="1"/>
  <c r="R237" i="3" s="1"/>
  <c r="S237" i="3" s="1"/>
  <c r="AA237" i="3"/>
  <c r="Z237" i="3"/>
  <c r="AC237" i="3"/>
  <c r="U236" i="3" l="1"/>
  <c r="Y235" i="3"/>
  <c r="T237" i="3"/>
  <c r="AH237" i="3" s="1"/>
  <c r="E237" i="3" l="1"/>
  <c r="H237" i="3" s="1"/>
  <c r="K237" i="3" s="1"/>
  <c r="AE237" i="3" s="1"/>
  <c r="AG237" i="3"/>
  <c r="D237" i="3"/>
  <c r="F237" i="3" l="1"/>
  <c r="G237" i="3"/>
  <c r="M237" i="3" s="1"/>
  <c r="N237" i="3" s="1"/>
  <c r="V237" i="3"/>
  <c r="A238" i="3"/>
  <c r="B238" i="3" s="1"/>
  <c r="I237" i="3" l="1"/>
  <c r="W237" i="3" s="1"/>
  <c r="J237" i="3"/>
  <c r="P238" i="3"/>
  <c r="Q238" i="3" s="1"/>
  <c r="R238" i="3" s="1"/>
  <c r="S238" i="3" s="1"/>
  <c r="Z238" i="3"/>
  <c r="AC238" i="3"/>
  <c r="AA238" i="3"/>
  <c r="AD238" i="3"/>
  <c r="L237" i="3" l="1"/>
  <c r="AD237" i="3"/>
  <c r="T238" i="3"/>
  <c r="AG238" i="3" s="1"/>
  <c r="U237" i="3"/>
  <c r="Y236" i="3"/>
  <c r="AH238" i="3" l="1"/>
  <c r="E238" i="3"/>
  <c r="H238" i="3" s="1"/>
  <c r="K238" i="3" s="1"/>
  <c r="AE238" i="3" s="1"/>
  <c r="D238" i="3"/>
  <c r="F238" i="3" l="1"/>
  <c r="G238" i="3"/>
  <c r="M238" i="3" s="1"/>
  <c r="N238" i="3" s="1"/>
  <c r="V238" i="3"/>
  <c r="A239" i="3"/>
  <c r="B239" i="3" s="1"/>
  <c r="I238" i="3" l="1"/>
  <c r="W238" i="3" s="1"/>
  <c r="J238" i="3"/>
  <c r="L238" i="3" s="1"/>
  <c r="AD239" i="3"/>
  <c r="P239" i="3"/>
  <c r="Q239" i="3" s="1"/>
  <c r="R239" i="3" s="1"/>
  <c r="S239" i="3" s="1"/>
  <c r="AC239" i="3"/>
  <c r="Z239" i="3"/>
  <c r="AA239" i="3"/>
  <c r="T239" i="3" l="1"/>
  <c r="U238" i="3"/>
  <c r="Y237" i="3"/>
  <c r="D239" i="3" l="1"/>
  <c r="G239" i="3" s="1"/>
  <c r="E239" i="3"/>
  <c r="H239" i="3" s="1"/>
  <c r="K239" i="3" s="1"/>
  <c r="AE239" i="3" s="1"/>
  <c r="AG239" i="3"/>
  <c r="AH239" i="3"/>
  <c r="F239" i="3" l="1"/>
  <c r="I239" i="3"/>
  <c r="J239" i="3"/>
  <c r="M239" i="3"/>
  <c r="N239" i="3" s="1"/>
  <c r="V239" i="3"/>
  <c r="A240" i="3"/>
  <c r="B240" i="3" s="1"/>
  <c r="W239" i="3" l="1"/>
  <c r="L239" i="3"/>
  <c r="Z240" i="3"/>
  <c r="P240" i="3"/>
  <c r="Q240" i="3" s="1"/>
  <c r="R240" i="3" s="1"/>
  <c r="S240" i="3" s="1"/>
  <c r="AD240" i="3"/>
  <c r="AA240" i="3"/>
  <c r="AC240" i="3"/>
  <c r="U239" i="3" l="1"/>
  <c r="Y238" i="3"/>
  <c r="T240" i="3"/>
  <c r="E240" i="3" l="1"/>
  <c r="H240" i="3" s="1"/>
  <c r="K240" i="3" s="1"/>
  <c r="AE240" i="3" s="1"/>
  <c r="D240" i="3"/>
  <c r="AG240" i="3"/>
  <c r="AH240" i="3"/>
  <c r="V240" i="3" l="1"/>
  <c r="A241" i="3"/>
  <c r="B241" i="3" s="1"/>
  <c r="F240" i="3"/>
  <c r="G240" i="3"/>
  <c r="I240" i="3" l="1"/>
  <c r="W240" i="3" s="1"/>
  <c r="J240" i="3"/>
  <c r="M240" i="3"/>
  <c r="N240" i="3" s="1"/>
  <c r="Z241" i="3"/>
  <c r="AC241" i="3"/>
  <c r="P241" i="3"/>
  <c r="Q241" i="3" s="1"/>
  <c r="R241" i="3" s="1"/>
  <c r="S241" i="3" s="1"/>
  <c r="AA241" i="3"/>
  <c r="T241" i="3" l="1"/>
  <c r="L240" i="3"/>
  <c r="AG241" i="3" l="1"/>
  <c r="AH241" i="3"/>
  <c r="U240" i="3"/>
  <c r="D241" i="3" s="1"/>
  <c r="Y239" i="3"/>
  <c r="G241" i="3" l="1"/>
  <c r="E241" i="3"/>
  <c r="H241" i="3" s="1"/>
  <c r="F241" i="3" l="1"/>
  <c r="I241" i="3"/>
  <c r="J241" i="3"/>
  <c r="AD241" i="3" s="1"/>
  <c r="M241" i="3"/>
  <c r="N241" i="3" s="1"/>
  <c r="K241" i="3"/>
  <c r="AE241" i="3" s="1"/>
  <c r="V241" i="3" l="1"/>
  <c r="W241" i="3" s="1"/>
  <c r="A242" i="3"/>
  <c r="B242" i="3" s="1"/>
  <c r="L241" i="3"/>
  <c r="U241" i="3" l="1"/>
  <c r="Y240" i="3"/>
  <c r="Z242" i="3"/>
  <c r="AA242" i="3"/>
  <c r="P242" i="3"/>
  <c r="Q242" i="3" s="1"/>
  <c r="R242" i="3" s="1"/>
  <c r="S242" i="3" s="1"/>
  <c r="AD242" i="3"/>
  <c r="AC242" i="3"/>
  <c r="T242" i="3" l="1"/>
  <c r="D242" i="3" s="1"/>
  <c r="E242" i="3" l="1"/>
  <c r="H242" i="3" s="1"/>
  <c r="K242" i="3" s="1"/>
  <c r="AE242" i="3" s="1"/>
  <c r="G242" i="3"/>
  <c r="AH242" i="3"/>
  <c r="AG242" i="3"/>
  <c r="F242" i="3" l="1"/>
  <c r="I242" i="3"/>
  <c r="J242" i="3"/>
  <c r="M242" i="3"/>
  <c r="N242" i="3" s="1"/>
  <c r="V242" i="3"/>
  <c r="A243" i="3"/>
  <c r="B243" i="3" s="1"/>
  <c r="W242" i="3" l="1"/>
  <c r="L242" i="3"/>
  <c r="AA243" i="3"/>
  <c r="AC243" i="3"/>
  <c r="Z243" i="3"/>
  <c r="P243" i="3"/>
  <c r="Q243" i="3" s="1"/>
  <c r="R243" i="3" s="1"/>
  <c r="S243" i="3" s="1"/>
  <c r="AD243" i="3"/>
  <c r="U242" i="3" l="1"/>
  <c r="Y241" i="3"/>
  <c r="T243" i="3"/>
  <c r="AH243" i="3" s="1"/>
  <c r="D243" i="3" l="1"/>
  <c r="G243" i="3" s="1"/>
  <c r="E243" i="3"/>
  <c r="H243" i="3" s="1"/>
  <c r="K243" i="3" s="1"/>
  <c r="AE243" i="3" s="1"/>
  <c r="AG243" i="3"/>
  <c r="F243" i="3" l="1"/>
  <c r="I243" i="3"/>
  <c r="J243" i="3"/>
  <c r="M243" i="3"/>
  <c r="N243" i="3" s="1"/>
  <c r="V243" i="3"/>
  <c r="A244" i="3"/>
  <c r="B244" i="3" s="1"/>
  <c r="W243" i="3" l="1"/>
  <c r="L243" i="3"/>
  <c r="AA244" i="3"/>
  <c r="P244" i="3"/>
  <c r="Q244" i="3" s="1"/>
  <c r="R244" i="3" s="1"/>
  <c r="S244" i="3" s="1"/>
  <c r="Z244" i="3"/>
  <c r="AC244" i="3"/>
  <c r="U243" i="3" l="1"/>
  <c r="Y242" i="3"/>
  <c r="T244" i="3"/>
  <c r="D244" i="3" l="1"/>
  <c r="G244" i="3" s="1"/>
  <c r="E244" i="3"/>
  <c r="H244" i="3" s="1"/>
  <c r="AG244" i="3"/>
  <c r="AH244" i="3"/>
  <c r="I244" i="3" l="1"/>
  <c r="J244" i="3"/>
  <c r="M244" i="3"/>
  <c r="N244" i="3" s="1"/>
  <c r="F244" i="3"/>
  <c r="K244" i="3"/>
  <c r="AE244" i="3" s="1"/>
  <c r="L244" i="3" l="1"/>
  <c r="AD244" i="3"/>
  <c r="V244" i="3"/>
  <c r="W244" i="3" s="1"/>
  <c r="A245" i="3"/>
  <c r="B245" i="3" s="1"/>
  <c r="U244" i="3" l="1"/>
  <c r="Y243" i="3"/>
  <c r="Z245" i="3"/>
  <c r="AD245" i="3"/>
  <c r="AA245" i="3"/>
  <c r="P245" i="3"/>
  <c r="Q245" i="3" s="1"/>
  <c r="R245" i="3" s="1"/>
  <c r="S245" i="3" s="1"/>
  <c r="AC245" i="3"/>
  <c r="T245" i="3" l="1"/>
  <c r="AG245" i="3" s="1"/>
  <c r="D245" i="3" l="1"/>
  <c r="G245" i="3" s="1"/>
  <c r="AH245" i="3"/>
  <c r="E245" i="3"/>
  <c r="H245" i="3" s="1"/>
  <c r="F245" i="3" l="1"/>
  <c r="I245" i="3"/>
  <c r="J245" i="3"/>
  <c r="M245" i="3"/>
  <c r="N245" i="3" s="1"/>
  <c r="K245" i="3"/>
  <c r="AE245" i="3" s="1"/>
  <c r="V245" i="3" l="1"/>
  <c r="W245" i="3" s="1"/>
  <c r="A246" i="3"/>
  <c r="B246" i="3" s="1"/>
  <c r="L245" i="3"/>
  <c r="U245" i="3" l="1"/>
  <c r="Y244" i="3"/>
  <c r="P246" i="3"/>
  <c r="Q246" i="3" s="1"/>
  <c r="R246" i="3" s="1"/>
  <c r="S246" i="3" s="1"/>
  <c r="AC246" i="3"/>
  <c r="Z246" i="3"/>
  <c r="AD246" i="3"/>
  <c r="AA246" i="3"/>
  <c r="T246" i="3" l="1"/>
  <c r="D246" i="3" s="1"/>
  <c r="E246" i="3" l="1"/>
  <c r="H246" i="3" s="1"/>
  <c r="K246" i="3" s="1"/>
  <c r="AE246" i="3" s="1"/>
  <c r="AG246" i="3"/>
  <c r="AH246" i="3"/>
  <c r="G246" i="3"/>
  <c r="F246" i="3" l="1"/>
  <c r="I246" i="3"/>
  <c r="J246" i="3"/>
  <c r="M246" i="3"/>
  <c r="N246" i="3" s="1"/>
  <c r="V246" i="3"/>
  <c r="A247" i="3"/>
  <c r="B247" i="3" s="1"/>
  <c r="W246" i="3" l="1"/>
  <c r="L246" i="3"/>
  <c r="P247" i="3"/>
  <c r="Q247" i="3" s="1"/>
  <c r="R247" i="3" s="1"/>
  <c r="S247" i="3" s="1"/>
  <c r="AA247" i="3"/>
  <c r="AC247" i="3"/>
  <c r="Z247" i="3"/>
  <c r="U246" i="3" l="1"/>
  <c r="Y245" i="3"/>
  <c r="T247" i="3"/>
  <c r="AG247" i="3" s="1"/>
  <c r="AH247" i="3" l="1"/>
  <c r="D247" i="3"/>
  <c r="E247" i="3"/>
  <c r="H247" i="3" s="1"/>
  <c r="K247" i="3" s="1"/>
  <c r="AE247" i="3" s="1"/>
  <c r="F247" i="3" l="1"/>
  <c r="G247" i="3"/>
  <c r="M247" i="3" s="1"/>
  <c r="N247" i="3" s="1"/>
  <c r="V247" i="3"/>
  <c r="A248" i="3"/>
  <c r="B248" i="3" s="1"/>
  <c r="I247" i="3" l="1"/>
  <c r="W247" i="3" s="1"/>
  <c r="J247" i="3"/>
  <c r="Z248" i="3"/>
  <c r="P248" i="3"/>
  <c r="Q248" i="3" s="1"/>
  <c r="R248" i="3" s="1"/>
  <c r="S248" i="3" s="1"/>
  <c r="AA248" i="3"/>
  <c r="AC248" i="3"/>
  <c r="AD248" i="3"/>
  <c r="L247" i="3" l="1"/>
  <c r="AD247" i="3"/>
  <c r="U247" i="3"/>
  <c r="Y246" i="3"/>
  <c r="T248" i="3"/>
  <c r="AG248" i="3" s="1"/>
  <c r="E248" i="3" l="1"/>
  <c r="H248" i="3" s="1"/>
  <c r="K248" i="3" s="1"/>
  <c r="AE248" i="3" s="1"/>
  <c r="AH248" i="3"/>
  <c r="D248" i="3"/>
  <c r="G248" i="3" s="1"/>
  <c r="F248" i="3" l="1"/>
  <c r="I248" i="3"/>
  <c r="J248" i="3"/>
  <c r="M248" i="3"/>
  <c r="N248" i="3" s="1"/>
  <c r="V248" i="3"/>
  <c r="A249" i="3"/>
  <c r="B249" i="3" s="1"/>
  <c r="W248" i="3" l="1"/>
  <c r="L248" i="3"/>
  <c r="AC249" i="3"/>
  <c r="P249" i="3"/>
  <c r="Q249" i="3" s="1"/>
  <c r="R249" i="3" s="1"/>
  <c r="S249" i="3" s="1"/>
  <c r="Z249" i="3"/>
  <c r="AD249" i="3"/>
  <c r="AA249" i="3"/>
  <c r="U248" i="3" l="1"/>
  <c r="Y247" i="3"/>
  <c r="T249" i="3"/>
  <c r="AG249" i="3" s="1"/>
  <c r="D249" i="3" l="1"/>
  <c r="G249" i="3" s="1"/>
  <c r="AH249" i="3"/>
  <c r="E249" i="3"/>
  <c r="H249" i="3" s="1"/>
  <c r="K249" i="3" s="1"/>
  <c r="AE249" i="3" s="1"/>
  <c r="F249" i="3" l="1"/>
  <c r="I249" i="3"/>
  <c r="J249" i="3"/>
  <c r="M249" i="3"/>
  <c r="N249" i="3" s="1"/>
  <c r="V249" i="3"/>
  <c r="A250" i="3"/>
  <c r="B250" i="3" s="1"/>
  <c r="W249" i="3" l="1"/>
  <c r="L249" i="3"/>
  <c r="AC250" i="3"/>
  <c r="AA250" i="3"/>
  <c r="P250" i="3"/>
  <c r="Q250" i="3" s="1"/>
  <c r="R250" i="3" s="1"/>
  <c r="S250" i="3" s="1"/>
  <c r="AD250" i="3"/>
  <c r="Z250" i="3"/>
  <c r="T250" i="3" l="1"/>
  <c r="AG250" i="3" s="1"/>
  <c r="U249" i="3"/>
  <c r="Y248" i="3"/>
  <c r="D250" i="3" l="1"/>
  <c r="E250" i="3"/>
  <c r="H250" i="3" s="1"/>
  <c r="AH250" i="3"/>
  <c r="F250" i="3" l="1"/>
  <c r="G250" i="3"/>
  <c r="K250" i="3"/>
  <c r="AE250" i="3" s="1"/>
  <c r="V250" i="3" l="1"/>
  <c r="A251" i="3"/>
  <c r="B251" i="3" s="1"/>
  <c r="I250" i="3"/>
  <c r="J250" i="3"/>
  <c r="M250" i="3"/>
  <c r="N250" i="3" s="1"/>
  <c r="W250" i="3" l="1"/>
  <c r="L250" i="3"/>
  <c r="P251" i="3"/>
  <c r="Q251" i="3" s="1"/>
  <c r="R251" i="3" s="1"/>
  <c r="S251" i="3" s="1"/>
  <c r="AC251" i="3"/>
  <c r="AA251" i="3"/>
  <c r="Z251" i="3"/>
  <c r="U250" i="3" l="1"/>
  <c r="Y249" i="3"/>
  <c r="T251" i="3"/>
  <c r="D251" i="3" l="1"/>
  <c r="G251" i="3" s="1"/>
  <c r="AG251" i="3"/>
  <c r="AH251" i="3"/>
  <c r="E251" i="3"/>
  <c r="H251" i="3" s="1"/>
  <c r="I251" i="3" l="1"/>
  <c r="J251" i="3"/>
  <c r="AD251" i="3" s="1"/>
  <c r="M251" i="3"/>
  <c r="N251" i="3" s="1"/>
  <c r="K251" i="3"/>
  <c r="AE251" i="3" s="1"/>
  <c r="F251" i="3"/>
  <c r="V251" i="3" l="1"/>
  <c r="W251" i="3" s="1"/>
  <c r="A252" i="3"/>
  <c r="B252" i="3" s="1"/>
  <c r="L251" i="3"/>
  <c r="U251" i="3" l="1"/>
  <c r="Y250" i="3"/>
  <c r="AD252" i="3"/>
  <c r="Z252" i="3"/>
  <c r="AA252" i="3"/>
  <c r="P252" i="3"/>
  <c r="Q252" i="3" s="1"/>
  <c r="R252" i="3" s="1"/>
  <c r="S252" i="3" s="1"/>
  <c r="AC252" i="3"/>
  <c r="T252" i="3" l="1"/>
  <c r="AH252" i="3" s="1"/>
  <c r="E252" i="3" l="1"/>
  <c r="H252" i="3" s="1"/>
  <c r="K252" i="3" s="1"/>
  <c r="AE252" i="3" s="1"/>
  <c r="AG252" i="3"/>
  <c r="D252" i="3"/>
  <c r="F252" i="3" l="1"/>
  <c r="G252" i="3"/>
  <c r="V252" i="3"/>
  <c r="A253" i="3"/>
  <c r="B253" i="3" s="1"/>
  <c r="AC253" i="3" l="1"/>
  <c r="AA253" i="3"/>
  <c r="AD253" i="3"/>
  <c r="P253" i="3"/>
  <c r="Q253" i="3" s="1"/>
  <c r="R253" i="3" s="1"/>
  <c r="S253" i="3" s="1"/>
  <c r="Z253" i="3"/>
  <c r="I252" i="3"/>
  <c r="W252" i="3" s="1"/>
  <c r="J252" i="3"/>
  <c r="M252" i="3"/>
  <c r="N252" i="3" s="1"/>
  <c r="L252" i="3" l="1"/>
  <c r="T253" i="3"/>
  <c r="AH253" i="3" l="1"/>
  <c r="U252" i="3"/>
  <c r="E253" i="3" s="1"/>
  <c r="H253" i="3" s="1"/>
  <c r="AG253" i="3"/>
  <c r="Y251" i="3"/>
  <c r="D253" i="3" l="1"/>
  <c r="F253" i="3" s="1"/>
  <c r="K253" i="3"/>
  <c r="AE253" i="3" s="1"/>
  <c r="G253" i="3" l="1"/>
  <c r="J253" i="3" s="1"/>
  <c r="V253" i="3"/>
  <c r="A254" i="3"/>
  <c r="B254" i="3" s="1"/>
  <c r="M253" i="3" l="1"/>
  <c r="N253" i="3" s="1"/>
  <c r="I253" i="3"/>
  <c r="W253" i="3" s="1"/>
  <c r="L253" i="3"/>
  <c r="AA254" i="3"/>
  <c r="AC254" i="3"/>
  <c r="P254" i="3"/>
  <c r="Q254" i="3" s="1"/>
  <c r="R254" i="3" s="1"/>
  <c r="S254" i="3" s="1"/>
  <c r="Z254" i="3"/>
  <c r="U253" i="3" l="1"/>
  <c r="Y252" i="3"/>
  <c r="T254" i="3"/>
  <c r="AH254" i="3" s="1"/>
  <c r="D254" i="3" l="1"/>
  <c r="G254" i="3" s="1"/>
  <c r="E254" i="3"/>
  <c r="H254" i="3" s="1"/>
  <c r="K254" i="3" s="1"/>
  <c r="AE254" i="3" s="1"/>
  <c r="AG254" i="3"/>
  <c r="F254" i="3" l="1"/>
  <c r="I254" i="3"/>
  <c r="J254" i="3"/>
  <c r="M254" i="3"/>
  <c r="N254" i="3" s="1"/>
  <c r="V254" i="3"/>
  <c r="A255" i="3"/>
  <c r="B255" i="3" s="1"/>
  <c r="W254" i="3" l="1"/>
  <c r="L254" i="3"/>
  <c r="AD254" i="3"/>
  <c r="AA255" i="3"/>
  <c r="AC255" i="3"/>
  <c r="AD255" i="3"/>
  <c r="Z255" i="3"/>
  <c r="P255" i="3"/>
  <c r="Q255" i="3" s="1"/>
  <c r="R255" i="3" s="1"/>
  <c r="S255" i="3" s="1"/>
  <c r="U254" i="3" l="1"/>
  <c r="Y253" i="3"/>
  <c r="T255" i="3"/>
  <c r="D255" i="3" l="1"/>
  <c r="G255" i="3" s="1"/>
  <c r="AG255" i="3"/>
  <c r="AH255" i="3"/>
  <c r="E255" i="3"/>
  <c r="H255" i="3" s="1"/>
  <c r="K255" i="3" s="1"/>
  <c r="AE255" i="3" s="1"/>
  <c r="F255" i="3" l="1"/>
  <c r="I255" i="3"/>
  <c r="J255" i="3"/>
  <c r="M255" i="3"/>
  <c r="N255" i="3" s="1"/>
  <c r="V255" i="3"/>
  <c r="A256" i="3"/>
  <c r="B256" i="3" s="1"/>
  <c r="W255" i="3" l="1"/>
  <c r="L255" i="3"/>
  <c r="AA256" i="3"/>
  <c r="AD256" i="3"/>
  <c r="P256" i="3"/>
  <c r="Q256" i="3" s="1"/>
  <c r="R256" i="3" s="1"/>
  <c r="S256" i="3" s="1"/>
  <c r="Z256" i="3"/>
  <c r="AC256" i="3"/>
  <c r="U255" i="3" l="1"/>
  <c r="Y254" i="3"/>
  <c r="T256" i="3"/>
  <c r="D256" i="3" l="1"/>
  <c r="G256" i="3" s="1"/>
  <c r="E256" i="3"/>
  <c r="H256" i="3" s="1"/>
  <c r="AH256" i="3"/>
  <c r="AG256" i="3"/>
  <c r="F256" i="3" l="1"/>
  <c r="I256" i="3"/>
  <c r="J256" i="3"/>
  <c r="M256" i="3"/>
  <c r="N256" i="3" s="1"/>
  <c r="K256" i="3"/>
  <c r="AE256" i="3" s="1"/>
  <c r="L256" i="3" l="1"/>
  <c r="V256" i="3"/>
  <c r="W256" i="3" s="1"/>
  <c r="A257" i="3"/>
  <c r="B257" i="3" s="1"/>
  <c r="U256" i="3" l="1"/>
  <c r="Y255" i="3"/>
  <c r="AC257" i="3"/>
  <c r="Z257" i="3"/>
  <c r="P257" i="3"/>
  <c r="Q257" i="3" s="1"/>
  <c r="R257" i="3" s="1"/>
  <c r="S257" i="3" s="1"/>
  <c r="AA257" i="3"/>
  <c r="T257" i="3" l="1"/>
  <c r="D257" i="3" s="1"/>
  <c r="E257" i="3" l="1"/>
  <c r="H257" i="3" s="1"/>
  <c r="K257" i="3" s="1"/>
  <c r="AE257" i="3" s="1"/>
  <c r="AG257" i="3"/>
  <c r="AH257" i="3"/>
  <c r="G257" i="3"/>
  <c r="F257" i="3" l="1"/>
  <c r="V257" i="3"/>
  <c r="A258" i="3"/>
  <c r="B258" i="3" s="1"/>
  <c r="I257" i="3"/>
  <c r="J257" i="3"/>
  <c r="AD257" i="3" s="1"/>
  <c r="M257" i="3"/>
  <c r="N257" i="3" s="1"/>
  <c r="W257" i="3" l="1"/>
  <c r="L257" i="3"/>
  <c r="AC258" i="3"/>
  <c r="AD258" i="3"/>
  <c r="Z258" i="3"/>
  <c r="P258" i="3"/>
  <c r="Q258" i="3" s="1"/>
  <c r="R258" i="3" s="1"/>
  <c r="S258" i="3" s="1"/>
  <c r="AA258" i="3"/>
  <c r="U257" i="3" l="1"/>
  <c r="Y256" i="3"/>
  <c r="T258" i="3"/>
  <c r="AG258" i="3" s="1"/>
  <c r="E258" i="3" l="1"/>
  <c r="H258" i="3" s="1"/>
  <c r="D258" i="3"/>
  <c r="AH258" i="3"/>
  <c r="F258" i="3" l="1"/>
  <c r="G258" i="3"/>
  <c r="K258" i="3"/>
  <c r="AE258" i="3" s="1"/>
  <c r="V258" i="3" l="1"/>
  <c r="A259" i="3"/>
  <c r="B259" i="3" s="1"/>
  <c r="I258" i="3"/>
  <c r="J258" i="3"/>
  <c r="M258" i="3"/>
  <c r="N258" i="3" s="1"/>
  <c r="L258" i="3" l="1"/>
  <c r="AC259" i="3"/>
  <c r="P259" i="3"/>
  <c r="Q259" i="3" s="1"/>
  <c r="R259" i="3" s="1"/>
  <c r="S259" i="3" s="1"/>
  <c r="Z259" i="3"/>
  <c r="AD259" i="3"/>
  <c r="AA259" i="3"/>
  <c r="W258" i="3"/>
  <c r="U258" i="3" l="1"/>
  <c r="Y257" i="3"/>
  <c r="T259" i="3"/>
  <c r="AH259" i="3" s="1"/>
  <c r="D259" i="3" l="1"/>
  <c r="G259" i="3" s="1"/>
  <c r="AG259" i="3"/>
  <c r="E259" i="3"/>
  <c r="H259" i="3" s="1"/>
  <c r="K259" i="3" s="1"/>
  <c r="AE259" i="3" s="1"/>
  <c r="F259" i="3" l="1"/>
  <c r="I259" i="3"/>
  <c r="J259" i="3"/>
  <c r="M259" i="3"/>
  <c r="N259" i="3" s="1"/>
  <c r="V259" i="3"/>
  <c r="A260" i="3"/>
  <c r="B260" i="3" s="1"/>
  <c r="W259" i="3" l="1"/>
  <c r="L259" i="3"/>
  <c r="AA260" i="3"/>
  <c r="P260" i="3"/>
  <c r="Q260" i="3" s="1"/>
  <c r="R260" i="3" s="1"/>
  <c r="S260" i="3" s="1"/>
  <c r="AD260" i="3"/>
  <c r="Z260" i="3"/>
  <c r="AC260" i="3"/>
  <c r="U259" i="3" l="1"/>
  <c r="Y258" i="3"/>
  <c r="T260" i="3"/>
  <c r="AH260" i="3" s="1"/>
  <c r="AG260" i="3" l="1"/>
  <c r="D260" i="3"/>
  <c r="E260" i="3"/>
  <c r="H260" i="3" s="1"/>
  <c r="K260" i="3" l="1"/>
  <c r="AE260" i="3" s="1"/>
  <c r="F260" i="3"/>
  <c r="G260" i="3"/>
  <c r="I260" i="3" l="1"/>
  <c r="J260" i="3"/>
  <c r="M260" i="3"/>
  <c r="N260" i="3" s="1"/>
  <c r="V260" i="3"/>
  <c r="A261" i="3"/>
  <c r="B261" i="3" s="1"/>
  <c r="W260" i="3" l="1"/>
  <c r="L260" i="3"/>
  <c r="Z261" i="3"/>
  <c r="AA261" i="3"/>
  <c r="P261" i="3"/>
  <c r="Q261" i="3" s="1"/>
  <c r="R261" i="3" s="1"/>
  <c r="S261" i="3" s="1"/>
  <c r="AC261" i="3"/>
  <c r="U260" i="3" l="1"/>
  <c r="Y259" i="3"/>
  <c r="T261" i="3"/>
  <c r="AH261" i="3" s="1"/>
  <c r="E261" i="3" l="1"/>
  <c r="H261" i="3" s="1"/>
  <c r="D261" i="3"/>
  <c r="AG261" i="3"/>
  <c r="K261" i="3" l="1"/>
  <c r="AE261" i="3" s="1"/>
  <c r="F261" i="3"/>
  <c r="G261" i="3"/>
  <c r="I261" i="3" l="1"/>
  <c r="J261" i="3"/>
  <c r="AD261" i="3" s="1"/>
  <c r="M261" i="3"/>
  <c r="N261" i="3" s="1"/>
  <c r="V261" i="3"/>
  <c r="A262" i="3"/>
  <c r="B262" i="3" s="1"/>
  <c r="W261" i="3" l="1"/>
  <c r="L261" i="3"/>
  <c r="AA262" i="3"/>
  <c r="Z262" i="3"/>
  <c r="P262" i="3"/>
  <c r="Q262" i="3" s="1"/>
  <c r="R262" i="3" s="1"/>
  <c r="S262" i="3" s="1"/>
  <c r="AC262" i="3"/>
  <c r="AD262" i="3"/>
  <c r="T262" i="3" l="1"/>
  <c r="AG262" i="3" s="1"/>
  <c r="U261" i="3"/>
  <c r="Y260" i="3"/>
  <c r="E262" i="3" l="1"/>
  <c r="H262" i="3" s="1"/>
  <c r="K262" i="3" s="1"/>
  <c r="AE262" i="3" s="1"/>
  <c r="AH262" i="3"/>
  <c r="D262" i="3"/>
  <c r="F262" i="3" l="1"/>
  <c r="G262" i="3"/>
  <c r="V262" i="3"/>
  <c r="A263" i="3"/>
  <c r="B263" i="3" s="1"/>
  <c r="P263" i="3" l="1"/>
  <c r="Q263" i="3" s="1"/>
  <c r="R263" i="3" s="1"/>
  <c r="S263" i="3" s="1"/>
  <c r="AA263" i="3"/>
  <c r="Z263" i="3"/>
  <c r="AD263" i="3"/>
  <c r="AC263" i="3"/>
  <c r="I262" i="3"/>
  <c r="W262" i="3" s="1"/>
  <c r="J262" i="3"/>
  <c r="M262" i="3"/>
  <c r="N262" i="3" s="1"/>
  <c r="L262" i="3" l="1"/>
  <c r="T263" i="3"/>
  <c r="U262" i="3" l="1"/>
  <c r="E263" i="3" s="1"/>
  <c r="H263" i="3" s="1"/>
  <c r="AH263" i="3"/>
  <c r="AG263" i="3"/>
  <c r="Y261" i="3"/>
  <c r="D263" i="3" l="1"/>
  <c r="G263" i="3" s="1"/>
  <c r="K263" i="3"/>
  <c r="AE263" i="3" s="1"/>
  <c r="F263" i="3" l="1"/>
  <c r="V263" i="3"/>
  <c r="A264" i="3"/>
  <c r="B264" i="3" s="1"/>
  <c r="I263" i="3"/>
  <c r="J263" i="3"/>
  <c r="M263" i="3"/>
  <c r="N263" i="3" s="1"/>
  <c r="W263" i="3" l="1"/>
  <c r="L263" i="3"/>
  <c r="P264" i="3"/>
  <c r="Q264" i="3" s="1"/>
  <c r="R264" i="3" s="1"/>
  <c r="S264" i="3" s="1"/>
  <c r="AA264" i="3"/>
  <c r="AC264" i="3"/>
  <c r="Z264" i="3"/>
  <c r="U263" i="3" l="1"/>
  <c r="Y262" i="3"/>
  <c r="T264" i="3"/>
  <c r="AH264" i="3" s="1"/>
  <c r="AG264" i="3" l="1"/>
  <c r="D264" i="3"/>
  <c r="G264" i="3" s="1"/>
  <c r="E264" i="3"/>
  <c r="H264" i="3" s="1"/>
  <c r="K264" i="3" l="1"/>
  <c r="AE264" i="3" s="1"/>
  <c r="I264" i="3"/>
  <c r="J264" i="3"/>
  <c r="AD264" i="3" s="1"/>
  <c r="M264" i="3"/>
  <c r="N264" i="3" s="1"/>
  <c r="F264" i="3"/>
  <c r="L264" i="3" l="1"/>
  <c r="V264" i="3"/>
  <c r="W264" i="3" s="1"/>
  <c r="A265" i="3"/>
  <c r="B265" i="3" s="1"/>
  <c r="U264" i="3" l="1"/>
  <c r="Y263" i="3"/>
  <c r="P265" i="3"/>
  <c r="Q265" i="3" s="1"/>
  <c r="R265" i="3" s="1"/>
  <c r="S265" i="3" s="1"/>
  <c r="AA265" i="3"/>
  <c r="AD265" i="3"/>
  <c r="Z265" i="3"/>
  <c r="AC265" i="3"/>
  <c r="T265" i="3" l="1"/>
  <c r="AG265" i="3" l="1"/>
  <c r="AH265" i="3"/>
  <c r="D265" i="3"/>
  <c r="E265" i="3"/>
  <c r="H265" i="3" s="1"/>
  <c r="F265" i="3" l="1"/>
  <c r="G265" i="3"/>
  <c r="K265" i="3"/>
  <c r="AE265" i="3" s="1"/>
  <c r="I265" i="3" l="1"/>
  <c r="J265" i="3"/>
  <c r="M265" i="3"/>
  <c r="N265" i="3" s="1"/>
  <c r="V265" i="3"/>
  <c r="A266" i="3"/>
  <c r="B266" i="3" s="1"/>
  <c r="L265" i="3" l="1"/>
  <c r="W265" i="3"/>
  <c r="P266" i="3"/>
  <c r="Q266" i="3" s="1"/>
  <c r="R266" i="3" s="1"/>
  <c r="S266" i="3" s="1"/>
  <c r="AC266" i="3"/>
  <c r="Z266" i="3"/>
  <c r="AA266" i="3"/>
  <c r="AD266" i="3"/>
  <c r="T266" i="3" l="1"/>
  <c r="U265" i="3"/>
  <c r="Y264" i="3"/>
  <c r="E266" i="3" l="1"/>
  <c r="H266" i="3" s="1"/>
  <c r="K266" i="3" s="1"/>
  <c r="AE266" i="3" s="1"/>
  <c r="AH266" i="3"/>
  <c r="AG266" i="3"/>
  <c r="D266" i="3"/>
  <c r="V266" i="3" l="1"/>
  <c r="A267" i="3"/>
  <c r="B267" i="3" s="1"/>
  <c r="F266" i="3"/>
  <c r="G266" i="3"/>
  <c r="I266" i="3" l="1"/>
  <c r="W266" i="3" s="1"/>
  <c r="J266" i="3"/>
  <c r="M266" i="3"/>
  <c r="N266" i="3" s="1"/>
  <c r="AC267" i="3"/>
  <c r="P267" i="3"/>
  <c r="Q267" i="3" s="1"/>
  <c r="R267" i="3" s="1"/>
  <c r="S267" i="3" s="1"/>
  <c r="AA267" i="3"/>
  <c r="Z267" i="3"/>
  <c r="T267" i="3" l="1"/>
  <c r="L266" i="3"/>
  <c r="AH267" i="3" l="1"/>
  <c r="AG267" i="3"/>
  <c r="U266" i="3"/>
  <c r="E267" i="3" s="1"/>
  <c r="H267" i="3" s="1"/>
  <c r="Y265" i="3"/>
  <c r="K267" i="3" l="1"/>
  <c r="AE267" i="3" s="1"/>
  <c r="D267" i="3"/>
  <c r="V267" i="3" l="1"/>
  <c r="A268" i="3"/>
  <c r="B268" i="3" s="1"/>
  <c r="F267" i="3"/>
  <c r="G267" i="3"/>
  <c r="I267" i="3" l="1"/>
  <c r="W267" i="3" s="1"/>
  <c r="J267" i="3"/>
  <c r="AD267" i="3" s="1"/>
  <c r="M267" i="3"/>
  <c r="N267" i="3" s="1"/>
  <c r="AC268" i="3"/>
  <c r="P268" i="3"/>
  <c r="Q268" i="3" s="1"/>
  <c r="R268" i="3" s="1"/>
  <c r="S268" i="3" s="1"/>
  <c r="Z268" i="3"/>
  <c r="AA268" i="3"/>
  <c r="AD268" i="3"/>
  <c r="T268" i="3" l="1"/>
  <c r="L267" i="3"/>
  <c r="U267" i="3" l="1"/>
  <c r="E268" i="3" s="1"/>
  <c r="H268" i="3" s="1"/>
  <c r="AH268" i="3"/>
  <c r="AG268" i="3"/>
  <c r="Y266" i="3"/>
  <c r="K268" i="3" l="1"/>
  <c r="AE268" i="3" s="1"/>
  <c r="D268" i="3"/>
  <c r="V268" i="3" l="1"/>
  <c r="A269" i="3"/>
  <c r="B269" i="3" s="1"/>
  <c r="F268" i="3"/>
  <c r="G268" i="3"/>
  <c r="I268" i="3" l="1"/>
  <c r="W268" i="3" s="1"/>
  <c r="J268" i="3"/>
  <c r="M268" i="3"/>
  <c r="N268" i="3" s="1"/>
  <c r="AD269" i="3"/>
  <c r="P269" i="3"/>
  <c r="Q269" i="3" s="1"/>
  <c r="R269" i="3" s="1"/>
  <c r="S269" i="3" s="1"/>
  <c r="AA269" i="3"/>
  <c r="Z269" i="3"/>
  <c r="AC269" i="3"/>
  <c r="T269" i="3" l="1"/>
  <c r="L268" i="3"/>
  <c r="U268" i="3" l="1"/>
  <c r="D269" i="3" s="1"/>
  <c r="AH269" i="3"/>
  <c r="AG269" i="3"/>
  <c r="Y267" i="3"/>
  <c r="G269" i="3" l="1"/>
  <c r="E269" i="3"/>
  <c r="H269" i="3" s="1"/>
  <c r="F269" i="3" l="1"/>
  <c r="I269" i="3"/>
  <c r="J269" i="3"/>
  <c r="M269" i="3"/>
  <c r="N269" i="3" s="1"/>
  <c r="K269" i="3"/>
  <c r="AE269" i="3" s="1"/>
  <c r="V269" i="3" l="1"/>
  <c r="W269" i="3" s="1"/>
  <c r="A270" i="3"/>
  <c r="B270" i="3" s="1"/>
  <c r="L269" i="3"/>
  <c r="U269" i="3" l="1"/>
  <c r="Y268" i="3"/>
  <c r="AA270" i="3"/>
  <c r="Z270" i="3"/>
  <c r="P270" i="3"/>
  <c r="Q270" i="3" s="1"/>
  <c r="R270" i="3" s="1"/>
  <c r="S270" i="3" s="1"/>
  <c r="AC270" i="3"/>
  <c r="AD270" i="3"/>
  <c r="T270" i="3" l="1"/>
  <c r="AG270" i="3" s="1"/>
  <c r="AH270" i="3" l="1"/>
  <c r="E270" i="3"/>
  <c r="H270" i="3" s="1"/>
  <c r="K270" i="3" s="1"/>
  <c r="AE270" i="3" s="1"/>
  <c r="D270" i="3"/>
  <c r="G270" i="3" s="1"/>
  <c r="F270" i="3" l="1"/>
  <c r="V270" i="3"/>
  <c r="A271" i="3"/>
  <c r="B271" i="3" s="1"/>
  <c r="I270" i="3"/>
  <c r="J270" i="3"/>
  <c r="M270" i="3"/>
  <c r="N270" i="3" s="1"/>
  <c r="L270" i="3" l="1"/>
  <c r="Z271" i="3"/>
  <c r="AA271" i="3"/>
  <c r="P271" i="3"/>
  <c r="Q271" i="3" s="1"/>
  <c r="R271" i="3" s="1"/>
  <c r="S271" i="3" s="1"/>
  <c r="AC271" i="3"/>
  <c r="W270" i="3"/>
  <c r="U270" i="3" l="1"/>
  <c r="Y269" i="3"/>
  <c r="T271" i="3"/>
  <c r="AH271" i="3" s="1"/>
  <c r="AG271" i="3" l="1"/>
  <c r="D271" i="3"/>
  <c r="E271" i="3"/>
  <c r="H271" i="3" s="1"/>
  <c r="K271" i="3" l="1"/>
  <c r="AE271" i="3" s="1"/>
  <c r="F271" i="3"/>
  <c r="G271" i="3"/>
  <c r="I271" i="3" l="1"/>
  <c r="J271" i="3"/>
  <c r="AD271" i="3" s="1"/>
  <c r="M271" i="3"/>
  <c r="N271" i="3" s="1"/>
  <c r="V271" i="3"/>
  <c r="A272" i="3"/>
  <c r="B272" i="3" s="1"/>
  <c r="W271" i="3" l="1"/>
  <c r="L271" i="3"/>
  <c r="AD272" i="3"/>
  <c r="Z272" i="3"/>
  <c r="AA272" i="3"/>
  <c r="P272" i="3"/>
  <c r="Q272" i="3" s="1"/>
  <c r="R272" i="3" s="1"/>
  <c r="S272" i="3" s="1"/>
  <c r="AC272" i="3"/>
  <c r="T272" i="3" l="1"/>
  <c r="U271" i="3"/>
  <c r="Y270" i="3"/>
  <c r="D272" i="3" l="1"/>
  <c r="G272" i="3" s="1"/>
  <c r="E272" i="3"/>
  <c r="H272" i="3" s="1"/>
  <c r="K272" i="3" s="1"/>
  <c r="AE272" i="3" s="1"/>
  <c r="AG272" i="3"/>
  <c r="AH272" i="3"/>
  <c r="F272" i="3" l="1"/>
  <c r="I272" i="3"/>
  <c r="J272" i="3"/>
  <c r="M272" i="3"/>
  <c r="N272" i="3" s="1"/>
  <c r="V272" i="3"/>
  <c r="A273" i="3"/>
  <c r="B273" i="3" s="1"/>
  <c r="W272" i="3" l="1"/>
  <c r="L272" i="3"/>
  <c r="AA273" i="3"/>
  <c r="P273" i="3"/>
  <c r="Q273" i="3" s="1"/>
  <c r="R273" i="3" s="1"/>
  <c r="S273" i="3" s="1"/>
  <c r="Z273" i="3"/>
  <c r="AC273" i="3"/>
  <c r="AD273" i="3"/>
  <c r="T273" i="3" l="1"/>
  <c r="AG273" i="3" s="1"/>
  <c r="U272" i="3"/>
  <c r="Y271" i="3"/>
  <c r="D273" i="3" l="1"/>
  <c r="G273" i="3" s="1"/>
  <c r="AH273" i="3"/>
  <c r="E273" i="3"/>
  <c r="H273" i="3" s="1"/>
  <c r="F273" i="3" l="1"/>
  <c r="I273" i="3"/>
  <c r="J273" i="3"/>
  <c r="M273" i="3"/>
  <c r="N273" i="3" s="1"/>
  <c r="K273" i="3"/>
  <c r="AE273" i="3" s="1"/>
  <c r="L273" i="3" l="1"/>
  <c r="V273" i="3"/>
  <c r="W273" i="3" s="1"/>
  <c r="A274" i="3"/>
  <c r="B274" i="3" s="1"/>
  <c r="P274" i="3" l="1"/>
  <c r="Q274" i="3" s="1"/>
  <c r="R274" i="3" s="1"/>
  <c r="S274" i="3" s="1"/>
  <c r="AC274" i="3"/>
  <c r="Z274" i="3"/>
  <c r="AA274" i="3"/>
  <c r="U273" i="3"/>
  <c r="Y272" i="3"/>
  <c r="T274" i="3" l="1"/>
  <c r="AG274" i="3" s="1"/>
  <c r="D274" i="3" l="1"/>
  <c r="G274" i="3" s="1"/>
  <c r="AH274" i="3"/>
  <c r="E274" i="3"/>
  <c r="H274" i="3" s="1"/>
  <c r="I274" i="3" l="1"/>
  <c r="J274" i="3"/>
  <c r="AD274" i="3" s="1"/>
  <c r="M274" i="3"/>
  <c r="N274" i="3" s="1"/>
  <c r="K274" i="3"/>
  <c r="AE274" i="3" s="1"/>
  <c r="F274" i="3"/>
  <c r="L274" i="3" l="1"/>
  <c r="V274" i="3"/>
  <c r="W274" i="3" s="1"/>
  <c r="A275" i="3"/>
  <c r="B275" i="3" s="1"/>
  <c r="U274" i="3" l="1"/>
  <c r="Y273" i="3"/>
  <c r="AA275" i="3"/>
  <c r="P275" i="3"/>
  <c r="Q275" i="3" s="1"/>
  <c r="R275" i="3" s="1"/>
  <c r="S275" i="3" s="1"/>
  <c r="AD275" i="3"/>
  <c r="Z275" i="3"/>
  <c r="AC275" i="3"/>
  <c r="T275" i="3" l="1"/>
  <c r="AH275" i="3" s="1"/>
  <c r="E275" i="3" l="1"/>
  <c r="H275" i="3" s="1"/>
  <c r="AG275" i="3"/>
  <c r="D275" i="3"/>
  <c r="F275" i="3" l="1"/>
  <c r="G275" i="3"/>
  <c r="K275" i="3"/>
  <c r="AE275" i="3" s="1"/>
  <c r="I275" i="3" l="1"/>
  <c r="J275" i="3"/>
  <c r="M275" i="3"/>
  <c r="N275" i="3" s="1"/>
  <c r="V275" i="3"/>
  <c r="A276" i="3"/>
  <c r="B276" i="3" s="1"/>
  <c r="W275" i="3" l="1"/>
  <c r="L275" i="3"/>
  <c r="AA276" i="3"/>
  <c r="Z276" i="3"/>
  <c r="P276" i="3"/>
  <c r="Q276" i="3" s="1"/>
  <c r="R276" i="3" s="1"/>
  <c r="S276" i="3" s="1"/>
  <c r="AC276" i="3"/>
  <c r="AD276" i="3"/>
  <c r="U275" i="3" l="1"/>
  <c r="Y274" i="3"/>
  <c r="T276" i="3"/>
  <c r="AH276" i="3" s="1"/>
  <c r="D276" i="3" l="1"/>
  <c r="AG276" i="3"/>
  <c r="E276" i="3"/>
  <c r="H276" i="3" s="1"/>
  <c r="F276" i="3" l="1"/>
  <c r="G276" i="3"/>
  <c r="K276" i="3"/>
  <c r="AE276" i="3" s="1"/>
  <c r="I276" i="3" l="1"/>
  <c r="J276" i="3"/>
  <c r="M276" i="3"/>
  <c r="N276" i="3" s="1"/>
  <c r="V276" i="3"/>
  <c r="A277" i="3"/>
  <c r="B277" i="3" s="1"/>
  <c r="W276" i="3" l="1"/>
  <c r="L276" i="3"/>
  <c r="P277" i="3"/>
  <c r="Q277" i="3" s="1"/>
  <c r="R277" i="3" s="1"/>
  <c r="S277" i="3" s="1"/>
  <c r="AC277" i="3"/>
  <c r="Z277" i="3"/>
  <c r="AA277" i="3"/>
  <c r="U276" i="3" l="1"/>
  <c r="Y275" i="3"/>
  <c r="T277" i="3"/>
  <c r="AG277" i="3" s="1"/>
  <c r="D277" i="3" l="1"/>
  <c r="G277" i="3" s="1"/>
  <c r="E277" i="3"/>
  <c r="H277" i="3" s="1"/>
  <c r="K277" i="3" s="1"/>
  <c r="AE277" i="3" s="1"/>
  <c r="AH277" i="3"/>
  <c r="F277" i="3" l="1"/>
  <c r="V277" i="3"/>
  <c r="A278" i="3"/>
  <c r="B278" i="3" s="1"/>
  <c r="I277" i="3"/>
  <c r="J277" i="3"/>
  <c r="AD277" i="3" s="1"/>
  <c r="M277" i="3"/>
  <c r="N277" i="3" s="1"/>
  <c r="W277" i="3" l="1"/>
  <c r="L277" i="3"/>
  <c r="AD278" i="3"/>
  <c r="AC278" i="3"/>
  <c r="Z278" i="3"/>
  <c r="P278" i="3"/>
  <c r="Q278" i="3" s="1"/>
  <c r="R278" i="3" s="1"/>
  <c r="S278" i="3" s="1"/>
  <c r="AA278" i="3"/>
  <c r="T278" i="3" l="1"/>
  <c r="U277" i="3"/>
  <c r="Y276" i="3"/>
  <c r="E278" i="3" l="1"/>
  <c r="H278" i="3" s="1"/>
  <c r="K278" i="3" s="1"/>
  <c r="AE278" i="3" s="1"/>
  <c r="D278" i="3"/>
  <c r="AH278" i="3"/>
  <c r="AG278" i="3"/>
  <c r="V278" i="3" l="1"/>
  <c r="A279" i="3"/>
  <c r="B279" i="3" s="1"/>
  <c r="F278" i="3"/>
  <c r="G278" i="3"/>
  <c r="I278" i="3" l="1"/>
  <c r="W278" i="3" s="1"/>
  <c r="J278" i="3"/>
  <c r="M278" i="3"/>
  <c r="N278" i="3" s="1"/>
  <c r="P279" i="3"/>
  <c r="Q279" i="3" s="1"/>
  <c r="R279" i="3" s="1"/>
  <c r="S279" i="3" s="1"/>
  <c r="AA279" i="3"/>
  <c r="AD279" i="3"/>
  <c r="Z279" i="3"/>
  <c r="AC279" i="3"/>
  <c r="T279" i="3" l="1"/>
  <c r="L278" i="3"/>
  <c r="U278" i="3" l="1"/>
  <c r="D279" i="3" s="1"/>
  <c r="AG279" i="3"/>
  <c r="AH279" i="3"/>
  <c r="Y277" i="3"/>
  <c r="G279" i="3" l="1"/>
  <c r="E279" i="3"/>
  <c r="H279" i="3" s="1"/>
  <c r="I279" i="3" l="1"/>
  <c r="J279" i="3"/>
  <c r="M279" i="3"/>
  <c r="N279" i="3" s="1"/>
  <c r="F279" i="3"/>
  <c r="K279" i="3"/>
  <c r="AE279" i="3" s="1"/>
  <c r="V279" i="3" l="1"/>
  <c r="W279" i="3" s="1"/>
  <c r="A280" i="3"/>
  <c r="B280" i="3" s="1"/>
  <c r="L279" i="3"/>
  <c r="U279" i="3" l="1"/>
  <c r="Y278" i="3"/>
  <c r="AA280" i="3"/>
  <c r="P280" i="3"/>
  <c r="Q280" i="3" s="1"/>
  <c r="R280" i="3" s="1"/>
  <c r="S280" i="3" s="1"/>
  <c r="AD280" i="3"/>
  <c r="AC280" i="3"/>
  <c r="Z280" i="3"/>
  <c r="T280" i="3" l="1"/>
  <c r="AH280" i="3" s="1"/>
  <c r="D280" i="3" l="1"/>
  <c r="G280" i="3" s="1"/>
  <c r="E280" i="3"/>
  <c r="H280" i="3" s="1"/>
  <c r="K280" i="3" s="1"/>
  <c r="AE280" i="3" s="1"/>
  <c r="AG280" i="3"/>
  <c r="F280" i="3" l="1"/>
  <c r="I280" i="3"/>
  <c r="J280" i="3"/>
  <c r="M280" i="3"/>
  <c r="N280" i="3" s="1"/>
  <c r="V280" i="3"/>
  <c r="A281" i="3"/>
  <c r="B281" i="3" s="1"/>
  <c r="L280" i="3" l="1"/>
  <c r="W280" i="3"/>
  <c r="AC281" i="3"/>
  <c r="AA281" i="3"/>
  <c r="P281" i="3"/>
  <c r="Q281" i="3" s="1"/>
  <c r="R281" i="3" s="1"/>
  <c r="S281" i="3" s="1"/>
  <c r="Z281" i="3"/>
  <c r="T281" i="3" l="1"/>
  <c r="AG281" i="3" s="1"/>
  <c r="U280" i="3"/>
  <c r="Y279" i="3"/>
  <c r="D281" i="3" l="1"/>
  <c r="E281" i="3"/>
  <c r="H281" i="3" s="1"/>
  <c r="AH281" i="3"/>
  <c r="F281" i="3" l="1"/>
  <c r="G281" i="3"/>
  <c r="K281" i="3"/>
  <c r="AE281" i="3" s="1"/>
  <c r="I281" i="3" l="1"/>
  <c r="J281" i="3"/>
  <c r="AD281" i="3" s="1"/>
  <c r="M281" i="3"/>
  <c r="N281" i="3" s="1"/>
  <c r="V281" i="3"/>
  <c r="A282" i="3"/>
  <c r="B282" i="3" s="1"/>
  <c r="W281" i="3" l="1"/>
  <c r="L281" i="3"/>
  <c r="AC282" i="3"/>
  <c r="Z282" i="3"/>
  <c r="AD282" i="3"/>
  <c r="P282" i="3"/>
  <c r="Q282" i="3" s="1"/>
  <c r="R282" i="3" s="1"/>
  <c r="S282" i="3" s="1"/>
  <c r="AA282" i="3"/>
  <c r="U281" i="3" l="1"/>
  <c r="Y280" i="3"/>
  <c r="T282" i="3"/>
  <c r="D282" i="3" l="1"/>
  <c r="G282" i="3" s="1"/>
  <c r="E282" i="3"/>
  <c r="H282" i="3" s="1"/>
  <c r="AH282" i="3"/>
  <c r="AG282" i="3"/>
  <c r="F282" i="3" l="1"/>
  <c r="I282" i="3"/>
  <c r="J282" i="3"/>
  <c r="M282" i="3"/>
  <c r="N282" i="3" s="1"/>
  <c r="K282" i="3"/>
  <c r="AE282" i="3" s="1"/>
  <c r="V282" i="3" l="1"/>
  <c r="W282" i="3" s="1"/>
  <c r="A283" i="3"/>
  <c r="B283" i="3" s="1"/>
  <c r="L282" i="3"/>
  <c r="U282" i="3" l="1"/>
  <c r="Y281" i="3"/>
  <c r="Z283" i="3"/>
  <c r="AC283" i="3"/>
  <c r="AD283" i="3"/>
  <c r="P283" i="3"/>
  <c r="Q283" i="3" s="1"/>
  <c r="R283" i="3" s="1"/>
  <c r="S283" i="3" s="1"/>
  <c r="AA283" i="3"/>
  <c r="T283" i="3" l="1"/>
  <c r="AH283" i="3" s="1"/>
  <c r="AG283" i="3" l="1"/>
  <c r="E283" i="3"/>
  <c r="H283" i="3" s="1"/>
  <c r="K283" i="3" s="1"/>
  <c r="AE283" i="3" s="1"/>
  <c r="D283" i="3"/>
  <c r="F283" i="3" l="1"/>
  <c r="G283" i="3"/>
  <c r="J283" i="3" s="1"/>
  <c r="V283" i="3"/>
  <c r="A284" i="3"/>
  <c r="B284" i="3" s="1"/>
  <c r="M283" i="3" l="1"/>
  <c r="N283" i="3" s="1"/>
  <c r="I283" i="3"/>
  <c r="W283" i="3" s="1"/>
  <c r="L283" i="3"/>
  <c r="AC284" i="3"/>
  <c r="AA284" i="3"/>
  <c r="P284" i="3"/>
  <c r="Q284" i="3" s="1"/>
  <c r="R284" i="3" s="1"/>
  <c r="S284" i="3" s="1"/>
  <c r="Z284" i="3"/>
  <c r="T284" i="3" l="1"/>
  <c r="AH284" i="3" s="1"/>
  <c r="U283" i="3"/>
  <c r="Y282" i="3"/>
  <c r="AG284" i="3" l="1"/>
  <c r="D284" i="3"/>
  <c r="E284" i="3"/>
  <c r="H284" i="3" s="1"/>
  <c r="F284" i="3" l="1"/>
  <c r="G284" i="3"/>
  <c r="K284" i="3"/>
  <c r="AE284" i="3" s="1"/>
  <c r="V284" i="3" l="1"/>
  <c r="A285" i="3"/>
  <c r="B285" i="3" s="1"/>
  <c r="I284" i="3"/>
  <c r="J284" i="3"/>
  <c r="AD284" i="3" s="1"/>
  <c r="M284" i="3"/>
  <c r="N284" i="3" s="1"/>
  <c r="W284" i="3" l="1"/>
  <c r="L284" i="3"/>
  <c r="AA285" i="3"/>
  <c r="P285" i="3"/>
  <c r="Q285" i="3" s="1"/>
  <c r="R285" i="3" s="1"/>
  <c r="S285" i="3" s="1"/>
  <c r="Z285" i="3"/>
  <c r="AC285" i="3"/>
  <c r="U284" i="3" l="1"/>
  <c r="Y283" i="3"/>
  <c r="T285" i="3"/>
  <c r="E285" i="3" l="1"/>
  <c r="H285" i="3" s="1"/>
  <c r="K285" i="3" s="1"/>
  <c r="AE285" i="3" s="1"/>
  <c r="AH285" i="3"/>
  <c r="D285" i="3"/>
  <c r="G285" i="3" s="1"/>
  <c r="AG285" i="3"/>
  <c r="F285" i="3" l="1"/>
  <c r="V285" i="3"/>
  <c r="A286" i="3"/>
  <c r="B286" i="3" s="1"/>
  <c r="I285" i="3"/>
  <c r="J285" i="3"/>
  <c r="AD285" i="3" s="1"/>
  <c r="M285" i="3"/>
  <c r="N285" i="3" s="1"/>
  <c r="W285" i="3" l="1"/>
  <c r="L285" i="3"/>
  <c r="AA286" i="3"/>
  <c r="P286" i="3"/>
  <c r="Q286" i="3" s="1"/>
  <c r="R286" i="3" s="1"/>
  <c r="S286" i="3" s="1"/>
  <c r="AC286" i="3"/>
  <c r="Z286" i="3"/>
  <c r="T286" i="3" l="1"/>
  <c r="AH286" i="3" s="1"/>
  <c r="U285" i="3"/>
  <c r="Y284" i="3"/>
  <c r="D286" i="3" l="1"/>
  <c r="G286" i="3" s="1"/>
  <c r="AG286" i="3"/>
  <c r="E286" i="3"/>
  <c r="H286" i="3" s="1"/>
  <c r="F286" i="3" l="1"/>
  <c r="I286" i="3"/>
  <c r="J286" i="3"/>
  <c r="AD286" i="3" s="1"/>
  <c r="M286" i="3"/>
  <c r="N286" i="3" s="1"/>
  <c r="K286" i="3"/>
  <c r="AE286" i="3" s="1"/>
  <c r="V286" i="3" l="1"/>
  <c r="W286" i="3" s="1"/>
  <c r="A287" i="3"/>
  <c r="B287" i="3" s="1"/>
  <c r="L286" i="3"/>
  <c r="U286" i="3" l="1"/>
  <c r="Y285" i="3"/>
  <c r="P287" i="3"/>
  <c r="Q287" i="3" s="1"/>
  <c r="R287" i="3" s="1"/>
  <c r="S287" i="3" s="1"/>
  <c r="AA287" i="3"/>
  <c r="Z287" i="3"/>
  <c r="AC287" i="3"/>
  <c r="T287" i="3" l="1"/>
  <c r="D287" i="3" s="1"/>
  <c r="G287" i="3" l="1"/>
  <c r="AH287" i="3"/>
  <c r="AG287" i="3"/>
  <c r="E287" i="3"/>
  <c r="H287" i="3" s="1"/>
  <c r="F287" i="3" l="1"/>
  <c r="K287" i="3"/>
  <c r="AE287" i="3" s="1"/>
  <c r="I287" i="3"/>
  <c r="J287" i="3"/>
  <c r="AD287" i="3" s="1"/>
  <c r="M287" i="3"/>
  <c r="N287" i="3" s="1"/>
  <c r="L287" i="3" l="1"/>
  <c r="V287" i="3"/>
  <c r="W287" i="3" s="1"/>
  <c r="A288" i="3"/>
  <c r="B288" i="3" s="1"/>
  <c r="U287" i="3" l="1"/>
  <c r="Y286" i="3"/>
  <c r="P288" i="3"/>
  <c r="Q288" i="3" s="1"/>
  <c r="R288" i="3" s="1"/>
  <c r="S288" i="3" s="1"/>
  <c r="AA288" i="3"/>
  <c r="AC288" i="3"/>
  <c r="Z288" i="3"/>
  <c r="T288" i="3" l="1"/>
  <c r="D288" i="3" s="1"/>
  <c r="AG288" i="3" l="1"/>
  <c r="AH288" i="3"/>
  <c r="E288" i="3"/>
  <c r="H288" i="3" s="1"/>
  <c r="K288" i="3" s="1"/>
  <c r="AE288" i="3" s="1"/>
  <c r="G288" i="3"/>
  <c r="F288" i="3" l="1"/>
  <c r="I288" i="3"/>
  <c r="J288" i="3"/>
  <c r="AD288" i="3" s="1"/>
  <c r="M288" i="3"/>
  <c r="N288" i="3" s="1"/>
  <c r="V288" i="3"/>
  <c r="A289" i="3"/>
  <c r="B289" i="3" s="1"/>
  <c r="W288" i="3" l="1"/>
  <c r="L288" i="3"/>
  <c r="P289" i="3"/>
  <c r="Q289" i="3" s="1"/>
  <c r="R289" i="3" s="1"/>
  <c r="S289" i="3" s="1"/>
  <c r="AA289" i="3"/>
  <c r="AC289" i="3"/>
  <c r="Z289" i="3"/>
  <c r="T289" i="3" l="1"/>
  <c r="U288" i="3"/>
  <c r="Y287" i="3"/>
  <c r="E289" i="3" l="1"/>
  <c r="H289" i="3" s="1"/>
  <c r="K289" i="3" s="1"/>
  <c r="AE289" i="3" s="1"/>
  <c r="AH289" i="3"/>
  <c r="AG289" i="3"/>
  <c r="D289" i="3"/>
  <c r="V289" i="3" l="1"/>
  <c r="A290" i="3"/>
  <c r="B290" i="3" s="1"/>
  <c r="F289" i="3"/>
  <c r="G289" i="3"/>
  <c r="I289" i="3" l="1"/>
  <c r="W289" i="3" s="1"/>
  <c r="J289" i="3"/>
  <c r="AD289" i="3" s="1"/>
  <c r="M289" i="3"/>
  <c r="N289" i="3" s="1"/>
  <c r="AA290" i="3"/>
  <c r="AC290" i="3"/>
  <c r="Z290" i="3"/>
  <c r="P290" i="3"/>
  <c r="Q290" i="3" s="1"/>
  <c r="R290" i="3" s="1"/>
  <c r="S290" i="3" s="1"/>
  <c r="T290" i="3" l="1"/>
  <c r="L289" i="3"/>
  <c r="U289" i="3" l="1"/>
  <c r="E290" i="3" s="1"/>
  <c r="H290" i="3" s="1"/>
  <c r="AH290" i="3"/>
  <c r="AG290" i="3"/>
  <c r="Y288" i="3"/>
  <c r="D290" i="3" l="1"/>
  <c r="G290" i="3" s="1"/>
  <c r="K290" i="3"/>
  <c r="AE290" i="3" s="1"/>
  <c r="F290" i="3" l="1"/>
  <c r="I290" i="3"/>
  <c r="J290" i="3"/>
  <c r="AD290" i="3" s="1"/>
  <c r="M290" i="3"/>
  <c r="N290" i="3" s="1"/>
  <c r="V290" i="3"/>
  <c r="A291" i="3"/>
  <c r="B291" i="3" s="1"/>
  <c r="L290" i="3" l="1"/>
  <c r="W290" i="3"/>
  <c r="P291" i="3"/>
  <c r="Q291" i="3" s="1"/>
  <c r="R291" i="3" s="1"/>
  <c r="S291" i="3" s="1"/>
  <c r="Z291" i="3"/>
  <c r="AA291" i="3"/>
  <c r="AC291" i="3"/>
  <c r="U290" i="3" l="1"/>
  <c r="Y289" i="3"/>
  <c r="T291" i="3"/>
  <c r="AG291" i="3" s="1"/>
  <c r="D291" i="3" l="1"/>
  <c r="E291" i="3"/>
  <c r="H291" i="3" s="1"/>
  <c r="AH291" i="3"/>
  <c r="K291" i="3" l="1"/>
  <c r="AE291" i="3" s="1"/>
  <c r="F291" i="3"/>
  <c r="G291" i="3"/>
  <c r="I291" i="3" l="1"/>
  <c r="J291" i="3"/>
  <c r="AD291" i="3" s="1"/>
  <c r="M291" i="3"/>
  <c r="N291" i="3" s="1"/>
  <c r="V291" i="3"/>
  <c r="A292" i="3"/>
  <c r="B292" i="3" s="1"/>
  <c r="W291" i="3" l="1"/>
  <c r="L291" i="3"/>
  <c r="Z292" i="3"/>
  <c r="AC292" i="3"/>
  <c r="AA292" i="3"/>
  <c r="P292" i="3"/>
  <c r="Q292" i="3" s="1"/>
  <c r="R292" i="3" s="1"/>
  <c r="S292" i="3" s="1"/>
  <c r="U291" i="3" l="1"/>
  <c r="Y290" i="3"/>
  <c r="T292" i="3"/>
  <c r="E292" i="3" l="1"/>
  <c r="H292" i="3" s="1"/>
  <c r="K292" i="3" s="1"/>
  <c r="AE292" i="3" s="1"/>
  <c r="D292" i="3"/>
  <c r="AG292" i="3"/>
  <c r="AH292" i="3"/>
  <c r="V292" i="3" l="1"/>
  <c r="A293" i="3"/>
  <c r="B293" i="3" s="1"/>
  <c r="F292" i="3"/>
  <c r="G292" i="3"/>
  <c r="I292" i="3" l="1"/>
  <c r="W292" i="3" s="1"/>
  <c r="J292" i="3"/>
  <c r="AD292" i="3" s="1"/>
  <c r="M292" i="3"/>
  <c r="N292" i="3" s="1"/>
  <c r="Z293" i="3"/>
  <c r="AC293" i="3"/>
  <c r="P293" i="3"/>
  <c r="Q293" i="3" s="1"/>
  <c r="R293" i="3" s="1"/>
  <c r="S293" i="3" s="1"/>
  <c r="AA293" i="3"/>
  <c r="L292" i="3" l="1"/>
  <c r="T293" i="3"/>
  <c r="U292" i="3" l="1"/>
  <c r="E293" i="3" s="1"/>
  <c r="H293" i="3" s="1"/>
  <c r="AH293" i="3"/>
  <c r="AG293" i="3"/>
  <c r="Y291" i="3"/>
  <c r="K293" i="3" l="1"/>
  <c r="AE293" i="3" s="1"/>
  <c r="D293" i="3"/>
  <c r="V293" i="3" l="1"/>
  <c r="A294" i="3"/>
  <c r="B294" i="3" s="1"/>
  <c r="F293" i="3"/>
  <c r="G293" i="3"/>
  <c r="I293" i="3" l="1"/>
  <c r="W293" i="3" s="1"/>
  <c r="J293" i="3"/>
  <c r="AD293" i="3" s="1"/>
  <c r="M293" i="3"/>
  <c r="N293" i="3" s="1"/>
  <c r="AA294" i="3"/>
  <c r="P294" i="3"/>
  <c r="Q294" i="3" s="1"/>
  <c r="R294" i="3" s="1"/>
  <c r="S294" i="3" s="1"/>
  <c r="Z294" i="3"/>
  <c r="AC294" i="3"/>
  <c r="L293" i="3" l="1"/>
  <c r="T294" i="3"/>
  <c r="AG294" i="3" l="1"/>
  <c r="U293" i="3"/>
  <c r="E294" i="3" s="1"/>
  <c r="H294" i="3" s="1"/>
  <c r="AH294" i="3"/>
  <c r="Y292" i="3"/>
  <c r="D294" i="3" l="1"/>
  <c r="G294" i="3" s="1"/>
  <c r="K294" i="3"/>
  <c r="AE294" i="3" s="1"/>
  <c r="F294" i="3" l="1"/>
  <c r="I294" i="3"/>
  <c r="J294" i="3"/>
  <c r="AD294" i="3" s="1"/>
  <c r="M294" i="3"/>
  <c r="N294" i="3" s="1"/>
  <c r="V294" i="3"/>
  <c r="A295" i="3"/>
  <c r="B295" i="3" s="1"/>
  <c r="L294" i="3" l="1"/>
  <c r="W294" i="3"/>
  <c r="AA295" i="3"/>
  <c r="AD295" i="3"/>
  <c r="P295" i="3"/>
  <c r="Q295" i="3" s="1"/>
  <c r="R295" i="3" s="1"/>
  <c r="S295" i="3" s="1"/>
  <c r="AC295" i="3"/>
  <c r="Z295" i="3"/>
  <c r="U294" i="3" l="1"/>
  <c r="Y293" i="3"/>
  <c r="T295" i="3"/>
  <c r="AG295" i="3" s="1"/>
  <c r="D295" i="3" l="1"/>
  <c r="AH295" i="3"/>
  <c r="E295" i="3"/>
  <c r="H295" i="3" s="1"/>
  <c r="F295" i="3" l="1"/>
  <c r="G295" i="3"/>
  <c r="K295" i="3"/>
  <c r="AE295" i="3" s="1"/>
  <c r="V295" i="3" l="1"/>
  <c r="A296" i="3"/>
  <c r="B296" i="3" s="1"/>
  <c r="I295" i="3"/>
  <c r="J295" i="3"/>
  <c r="M295" i="3"/>
  <c r="N295" i="3" s="1"/>
  <c r="L295" i="3" l="1"/>
  <c r="AC296" i="3"/>
  <c r="Z296" i="3"/>
  <c r="AD296" i="3"/>
  <c r="P296" i="3"/>
  <c r="Q296" i="3" s="1"/>
  <c r="R296" i="3" s="1"/>
  <c r="S296" i="3" s="1"/>
  <c r="AA296" i="3"/>
  <c r="W295" i="3"/>
  <c r="T296" i="3" l="1"/>
  <c r="U295" i="3"/>
  <c r="Y294" i="3"/>
  <c r="D296" i="3" l="1"/>
  <c r="G296" i="3" s="1"/>
  <c r="AG296" i="3"/>
  <c r="AH296" i="3"/>
  <c r="E296" i="3"/>
  <c r="H296" i="3" s="1"/>
  <c r="F296" i="3" l="1"/>
  <c r="I296" i="3"/>
  <c r="J296" i="3"/>
  <c r="M296" i="3"/>
  <c r="N296" i="3" s="1"/>
  <c r="K296" i="3"/>
  <c r="AE296" i="3" s="1"/>
  <c r="V296" i="3" l="1"/>
  <c r="W296" i="3" s="1"/>
  <c r="A297" i="3"/>
  <c r="B297" i="3" s="1"/>
  <c r="L296" i="3"/>
  <c r="U296" i="3" l="1"/>
  <c r="Y295" i="3"/>
  <c r="AA297" i="3"/>
  <c r="P297" i="3"/>
  <c r="Q297" i="3" s="1"/>
  <c r="R297" i="3" s="1"/>
  <c r="S297" i="3" s="1"/>
  <c r="Z297" i="3"/>
  <c r="AC297" i="3"/>
  <c r="T297" i="3" l="1"/>
  <c r="E297" i="3" s="1"/>
  <c r="H297" i="3" s="1"/>
  <c r="D297" i="3" l="1"/>
  <c r="F297" i="3" s="1"/>
  <c r="AG297" i="3"/>
  <c r="K297" i="3"/>
  <c r="AE297" i="3" s="1"/>
  <c r="AH297" i="3"/>
  <c r="G297" i="3" l="1"/>
  <c r="M297" i="3" s="1"/>
  <c r="N297" i="3" s="1"/>
  <c r="V297" i="3"/>
  <c r="A298" i="3"/>
  <c r="B298" i="3" s="1"/>
  <c r="J297" i="3" l="1"/>
  <c r="I297" i="3"/>
  <c r="W297" i="3" s="1"/>
  <c r="Z298" i="3"/>
  <c r="AD298" i="3"/>
  <c r="P298" i="3"/>
  <c r="Q298" i="3" s="1"/>
  <c r="R298" i="3" s="1"/>
  <c r="S298" i="3" s="1"/>
  <c r="AA298" i="3"/>
  <c r="AC298" i="3"/>
  <c r="L297" i="3" l="1"/>
  <c r="AD297" i="3"/>
  <c r="T298" i="3"/>
  <c r="U297" i="3"/>
  <c r="Y296" i="3"/>
  <c r="E298" i="3" l="1"/>
  <c r="H298" i="3" s="1"/>
  <c r="K298" i="3" s="1"/>
  <c r="AE298" i="3" s="1"/>
  <c r="AH298" i="3"/>
  <c r="D298" i="3"/>
  <c r="AG298" i="3"/>
  <c r="F298" i="3" l="1"/>
  <c r="G298" i="3"/>
  <c r="V298" i="3"/>
  <c r="A299" i="3"/>
  <c r="B299" i="3" s="1"/>
  <c r="I298" i="3" l="1"/>
  <c r="W298" i="3" s="1"/>
  <c r="J298" i="3"/>
  <c r="M298" i="3"/>
  <c r="N298" i="3" s="1"/>
  <c r="Z299" i="3"/>
  <c r="AD299" i="3"/>
  <c r="P299" i="3"/>
  <c r="Q299" i="3" s="1"/>
  <c r="R299" i="3" s="1"/>
  <c r="S299" i="3" s="1"/>
  <c r="AA299" i="3"/>
  <c r="AC299" i="3"/>
  <c r="L298" i="3" l="1"/>
  <c r="T299" i="3"/>
  <c r="AG299" i="3" l="1"/>
  <c r="U298" i="3"/>
  <c r="E299" i="3" s="1"/>
  <c r="H299" i="3" s="1"/>
  <c r="AH299" i="3"/>
  <c r="Y297" i="3"/>
  <c r="D299" i="3" l="1"/>
  <c r="G299" i="3" s="1"/>
  <c r="K299" i="3"/>
  <c r="AE299" i="3" s="1"/>
  <c r="F299" i="3" l="1"/>
  <c r="I299" i="3"/>
  <c r="J299" i="3"/>
  <c r="M299" i="3"/>
  <c r="N299" i="3" s="1"/>
  <c r="V299" i="3"/>
  <c r="A300" i="3"/>
  <c r="B300" i="3" s="1"/>
  <c r="W299" i="3" l="1"/>
  <c r="L299" i="3"/>
  <c r="Z300" i="3"/>
  <c r="P300" i="3"/>
  <c r="Q300" i="3" s="1"/>
  <c r="R300" i="3" s="1"/>
  <c r="S300" i="3" s="1"/>
  <c r="AD300" i="3"/>
  <c r="AA300" i="3"/>
  <c r="AC300" i="3"/>
  <c r="U299" i="3" l="1"/>
  <c r="Y298" i="3"/>
  <c r="T300" i="3"/>
  <c r="E300" i="3" l="1"/>
  <c r="H300" i="3" s="1"/>
  <c r="K300" i="3" s="1"/>
  <c r="AE300" i="3" s="1"/>
  <c r="AH300" i="3"/>
  <c r="AG300" i="3"/>
  <c r="D300" i="3"/>
  <c r="F300" i="3" l="1"/>
  <c r="G300" i="3"/>
  <c r="V300" i="3"/>
  <c r="A301" i="3"/>
  <c r="B301" i="3" s="1"/>
  <c r="I300" i="3" l="1"/>
  <c r="W300" i="3" s="1"/>
  <c r="J300" i="3"/>
  <c r="M300" i="3"/>
  <c r="N300" i="3" s="1"/>
  <c r="AC301" i="3"/>
  <c r="Z301" i="3"/>
  <c r="AA301" i="3"/>
  <c r="P301" i="3"/>
  <c r="Q301" i="3" s="1"/>
  <c r="R301" i="3" s="1"/>
  <c r="S301" i="3" s="1"/>
  <c r="L300" i="3" l="1"/>
  <c r="T301" i="3"/>
  <c r="AH301" i="3" l="1"/>
  <c r="U300" i="3"/>
  <c r="D301" i="3" s="1"/>
  <c r="AG301" i="3"/>
  <c r="Y299" i="3"/>
  <c r="E301" i="3" l="1"/>
  <c r="H301" i="3" s="1"/>
  <c r="K301" i="3" s="1"/>
  <c r="AE301" i="3" s="1"/>
  <c r="G301" i="3"/>
  <c r="F301" i="3" l="1"/>
  <c r="I301" i="3"/>
  <c r="J301" i="3"/>
  <c r="AD301" i="3" s="1"/>
  <c r="M301" i="3"/>
  <c r="N301" i="3" s="1"/>
  <c r="V301" i="3"/>
  <c r="A302" i="3"/>
  <c r="B302" i="3" s="1"/>
  <c r="W301" i="3" l="1"/>
  <c r="L301" i="3"/>
  <c r="P302" i="3"/>
  <c r="Q302" i="3" s="1"/>
  <c r="R302" i="3" s="1"/>
  <c r="S302" i="3" s="1"/>
  <c r="AA302" i="3"/>
  <c r="AC302" i="3"/>
  <c r="AD302" i="3"/>
  <c r="Z302" i="3"/>
  <c r="U301" i="3" l="1"/>
  <c r="Y300" i="3"/>
  <c r="T302" i="3"/>
  <c r="AG302" i="3" s="1"/>
  <c r="AH302" i="3" l="1"/>
  <c r="D302" i="3"/>
  <c r="E302" i="3"/>
  <c r="H302" i="3" s="1"/>
  <c r="K302" i="3" s="1"/>
  <c r="AE302" i="3" s="1"/>
  <c r="F302" i="3" l="1"/>
  <c r="G302" i="3"/>
  <c r="M302" i="3" s="1"/>
  <c r="N302" i="3" s="1"/>
  <c r="V302" i="3"/>
  <c r="A303" i="3"/>
  <c r="B303" i="3" s="1"/>
  <c r="I302" i="3" l="1"/>
  <c r="W302" i="3" s="1"/>
  <c r="J302" i="3"/>
  <c r="L302" i="3" s="1"/>
  <c r="AD303" i="3"/>
  <c r="Z303" i="3"/>
  <c r="P303" i="3"/>
  <c r="Q303" i="3" s="1"/>
  <c r="R303" i="3" s="1"/>
  <c r="S303" i="3" s="1"/>
  <c r="AA303" i="3"/>
  <c r="AC303" i="3"/>
  <c r="T303" i="3" l="1"/>
  <c r="U302" i="3"/>
  <c r="Y301" i="3"/>
  <c r="E303" i="3" l="1"/>
  <c r="H303" i="3" s="1"/>
  <c r="K303" i="3" s="1"/>
  <c r="AE303" i="3" s="1"/>
  <c r="D303" i="3"/>
  <c r="G303" i="3" s="1"/>
  <c r="AH303" i="3"/>
  <c r="AG303" i="3"/>
  <c r="F303" i="3" l="1"/>
  <c r="I303" i="3"/>
  <c r="J303" i="3"/>
  <c r="M303" i="3"/>
  <c r="N303" i="3" s="1"/>
  <c r="V303" i="3"/>
  <c r="A304" i="3"/>
  <c r="B304" i="3" s="1"/>
  <c r="W303" i="3" l="1"/>
  <c r="L303" i="3"/>
  <c r="Z304" i="3"/>
  <c r="P304" i="3"/>
  <c r="Q304" i="3" s="1"/>
  <c r="R304" i="3" s="1"/>
  <c r="S304" i="3" s="1"/>
  <c r="AC304" i="3"/>
  <c r="AA304" i="3"/>
  <c r="U303" i="3" l="1"/>
  <c r="Y302" i="3"/>
  <c r="T304" i="3"/>
  <c r="AH304" i="3" s="1"/>
  <c r="AG304" i="3" l="1"/>
  <c r="D304" i="3"/>
  <c r="G304" i="3" s="1"/>
  <c r="E304" i="3"/>
  <c r="H304" i="3" s="1"/>
  <c r="K304" i="3" s="1"/>
  <c r="AE304" i="3" s="1"/>
  <c r="F304" i="3" l="1"/>
  <c r="I304" i="3"/>
  <c r="J304" i="3"/>
  <c r="AD304" i="3" s="1"/>
  <c r="M304" i="3"/>
  <c r="N304" i="3" s="1"/>
  <c r="V304" i="3"/>
  <c r="A305" i="3"/>
  <c r="B305" i="3" s="1"/>
  <c r="W304" i="3" l="1"/>
  <c r="L304" i="3"/>
  <c r="Z305" i="3"/>
  <c r="AA305" i="3"/>
  <c r="P305" i="3"/>
  <c r="Q305" i="3" s="1"/>
  <c r="R305" i="3" s="1"/>
  <c r="S305" i="3" s="1"/>
  <c r="AC305" i="3"/>
  <c r="AD305" i="3"/>
  <c r="U304" i="3" l="1"/>
  <c r="Y303" i="3"/>
  <c r="T305" i="3"/>
  <c r="AG305" i="3" s="1"/>
  <c r="AH305" i="3" l="1"/>
  <c r="E305" i="3"/>
  <c r="H305" i="3" s="1"/>
  <c r="K305" i="3" s="1"/>
  <c r="AE305" i="3" s="1"/>
  <c r="D305" i="3"/>
  <c r="V305" i="3" l="1"/>
  <c r="A306" i="3"/>
  <c r="B306" i="3" s="1"/>
  <c r="F305" i="3"/>
  <c r="G305" i="3"/>
  <c r="I305" i="3" l="1"/>
  <c r="W305" i="3" s="1"/>
  <c r="J305" i="3"/>
  <c r="M305" i="3"/>
  <c r="N305" i="3" s="1"/>
  <c r="AA306" i="3"/>
  <c r="Z306" i="3"/>
  <c r="P306" i="3"/>
  <c r="Q306" i="3" s="1"/>
  <c r="R306" i="3" s="1"/>
  <c r="S306" i="3" s="1"/>
  <c r="AC306" i="3"/>
  <c r="AD306" i="3"/>
  <c r="T306" i="3" l="1"/>
  <c r="L305" i="3"/>
  <c r="U305" i="3" l="1"/>
  <c r="E306" i="3" s="1"/>
  <c r="H306" i="3" s="1"/>
  <c r="AH306" i="3"/>
  <c r="AG306" i="3"/>
  <c r="Y304" i="3"/>
  <c r="D306" i="3" l="1"/>
  <c r="G306" i="3" s="1"/>
  <c r="K306" i="3"/>
  <c r="AE306" i="3" s="1"/>
  <c r="F306" i="3" l="1"/>
  <c r="I306" i="3"/>
  <c r="J306" i="3"/>
  <c r="M306" i="3"/>
  <c r="N306" i="3" s="1"/>
  <c r="V306" i="3"/>
  <c r="A307" i="3"/>
  <c r="B307" i="3" s="1"/>
  <c r="W306" i="3" l="1"/>
  <c r="L306" i="3"/>
  <c r="AC307" i="3"/>
  <c r="P307" i="3"/>
  <c r="Q307" i="3" s="1"/>
  <c r="R307" i="3" s="1"/>
  <c r="S307" i="3" s="1"/>
  <c r="AA307" i="3"/>
  <c r="Z307" i="3"/>
  <c r="T307" i="3" l="1"/>
  <c r="AH307" i="3" s="1"/>
  <c r="U306" i="3"/>
  <c r="Y305" i="3"/>
  <c r="D307" i="3" l="1"/>
  <c r="E307" i="3"/>
  <c r="H307" i="3" s="1"/>
  <c r="AG307" i="3"/>
  <c r="F307" i="3" l="1"/>
  <c r="G307" i="3"/>
  <c r="K307" i="3"/>
  <c r="AE307" i="3" s="1"/>
  <c r="I307" i="3" l="1"/>
  <c r="J307" i="3"/>
  <c r="AD307" i="3" s="1"/>
  <c r="M307" i="3"/>
  <c r="N307" i="3" s="1"/>
  <c r="V307" i="3"/>
  <c r="A308" i="3"/>
  <c r="B308" i="3" s="1"/>
  <c r="L307" i="3" l="1"/>
  <c r="Z308" i="3"/>
  <c r="AD308" i="3"/>
  <c r="AA308" i="3"/>
  <c r="P308" i="3"/>
  <c r="Q308" i="3" s="1"/>
  <c r="R308" i="3" s="1"/>
  <c r="S308" i="3" s="1"/>
  <c r="AC308" i="3"/>
  <c r="W307" i="3"/>
  <c r="T308" i="3" l="1"/>
  <c r="U307" i="3"/>
  <c r="Y306" i="3"/>
  <c r="E308" i="3" l="1"/>
  <c r="H308" i="3" s="1"/>
  <c r="K308" i="3" s="1"/>
  <c r="AE308" i="3" s="1"/>
  <c r="AH308" i="3"/>
  <c r="AG308" i="3"/>
  <c r="D308" i="3"/>
  <c r="F308" i="3" l="1"/>
  <c r="G308" i="3"/>
  <c r="V308" i="3"/>
  <c r="A309" i="3"/>
  <c r="B309" i="3" s="1"/>
  <c r="I308" i="3" l="1"/>
  <c r="W308" i="3" s="1"/>
  <c r="J308" i="3"/>
  <c r="M308" i="3"/>
  <c r="N308" i="3" s="1"/>
  <c r="AC309" i="3"/>
  <c r="AD309" i="3"/>
  <c r="P309" i="3"/>
  <c r="Q309" i="3" s="1"/>
  <c r="R309" i="3" s="1"/>
  <c r="S309" i="3" s="1"/>
  <c r="AA309" i="3"/>
  <c r="Z309" i="3"/>
  <c r="T309" i="3" l="1"/>
  <c r="L308" i="3"/>
  <c r="AG309" i="3" l="1"/>
  <c r="AH309" i="3"/>
  <c r="U308" i="3"/>
  <c r="E309" i="3" s="1"/>
  <c r="H309" i="3" s="1"/>
  <c r="Y307" i="3"/>
  <c r="D309" i="3" l="1"/>
  <c r="G309" i="3" s="1"/>
  <c r="K309" i="3"/>
  <c r="AE309" i="3" s="1"/>
  <c r="F309" i="3" l="1"/>
  <c r="V309" i="3"/>
  <c r="A310" i="3"/>
  <c r="B310" i="3" s="1"/>
  <c r="I309" i="3"/>
  <c r="J309" i="3"/>
  <c r="M309" i="3"/>
  <c r="N309" i="3" s="1"/>
  <c r="W309" i="3" l="1"/>
  <c r="L309" i="3"/>
  <c r="AC310" i="3"/>
  <c r="AD310" i="3"/>
  <c r="Z310" i="3"/>
  <c r="AA310" i="3"/>
  <c r="P310" i="3"/>
  <c r="Q310" i="3" s="1"/>
  <c r="R310" i="3" s="1"/>
  <c r="S310" i="3" s="1"/>
  <c r="T310" i="3" l="1"/>
  <c r="AH310" i="3" s="1"/>
  <c r="U309" i="3"/>
  <c r="Y308" i="3"/>
  <c r="AG310" i="3" l="1"/>
  <c r="E310" i="3"/>
  <c r="H310" i="3" s="1"/>
  <c r="D310" i="3"/>
  <c r="K310" i="3" l="1"/>
  <c r="AE310" i="3" s="1"/>
  <c r="F310" i="3"/>
  <c r="G310" i="3"/>
  <c r="I310" i="3" l="1"/>
  <c r="J310" i="3"/>
  <c r="M310" i="3"/>
  <c r="N310" i="3" s="1"/>
  <c r="V310" i="3"/>
  <c r="A311" i="3"/>
  <c r="B311" i="3" s="1"/>
  <c r="W310" i="3" l="1"/>
  <c r="L310" i="3"/>
  <c r="AA311" i="3"/>
  <c r="Z311" i="3"/>
  <c r="P311" i="3"/>
  <c r="Q311" i="3" s="1"/>
  <c r="R311" i="3" s="1"/>
  <c r="S311" i="3" s="1"/>
  <c r="AC311" i="3"/>
  <c r="T311" i="3" l="1"/>
  <c r="AH311" i="3" s="1"/>
  <c r="U310" i="3"/>
  <c r="Y309" i="3"/>
  <c r="D311" i="3" l="1"/>
  <c r="G311" i="3" s="1"/>
  <c r="E311" i="3"/>
  <c r="H311" i="3" s="1"/>
  <c r="AG311" i="3"/>
  <c r="I311" i="3" l="1"/>
  <c r="J311" i="3"/>
  <c r="AD311" i="3" s="1"/>
  <c r="M311" i="3"/>
  <c r="N311" i="3" s="1"/>
  <c r="K311" i="3"/>
  <c r="AE311" i="3" s="1"/>
  <c r="F311" i="3"/>
  <c r="V311" i="3" l="1"/>
  <c r="W311" i="3" s="1"/>
  <c r="A312" i="3"/>
  <c r="B312" i="3" s="1"/>
  <c r="L311" i="3"/>
  <c r="U311" i="3" l="1"/>
  <c r="Y310" i="3"/>
  <c r="AA312" i="3"/>
  <c r="Z312" i="3"/>
  <c r="AD312" i="3"/>
  <c r="P312" i="3"/>
  <c r="Q312" i="3" s="1"/>
  <c r="R312" i="3" s="1"/>
  <c r="S312" i="3" s="1"/>
  <c r="AC312" i="3"/>
  <c r="T312" i="3" l="1"/>
  <c r="AG312" i="3" s="1"/>
  <c r="E312" i="3" l="1"/>
  <c r="H312" i="3" s="1"/>
  <c r="K312" i="3" s="1"/>
  <c r="AE312" i="3" s="1"/>
  <c r="D312" i="3"/>
  <c r="AH312" i="3"/>
  <c r="V312" i="3" l="1"/>
  <c r="A313" i="3"/>
  <c r="B313" i="3" s="1"/>
  <c r="F312" i="3"/>
  <c r="G312" i="3"/>
  <c r="I312" i="3" l="1"/>
  <c r="W312" i="3" s="1"/>
  <c r="J312" i="3"/>
  <c r="M312" i="3"/>
  <c r="N312" i="3" s="1"/>
  <c r="Z313" i="3"/>
  <c r="AC313" i="3"/>
  <c r="P313" i="3"/>
  <c r="Q313" i="3" s="1"/>
  <c r="R313" i="3" s="1"/>
  <c r="S313" i="3" s="1"/>
  <c r="AD313" i="3"/>
  <c r="AA313" i="3"/>
  <c r="T313" i="3" l="1"/>
  <c r="L312" i="3"/>
  <c r="AG313" i="3" l="1"/>
  <c r="AH313" i="3"/>
  <c r="U312" i="3"/>
  <c r="D313" i="3" s="1"/>
  <c r="Y311" i="3"/>
  <c r="E313" i="3" l="1"/>
  <c r="H313" i="3" s="1"/>
  <c r="K313" i="3" s="1"/>
  <c r="AE313" i="3" s="1"/>
  <c r="G313" i="3"/>
  <c r="F313" i="3" l="1"/>
  <c r="I313" i="3"/>
  <c r="J313" i="3"/>
  <c r="M313" i="3"/>
  <c r="N313" i="3" s="1"/>
  <c r="V313" i="3"/>
  <c r="A314" i="3"/>
  <c r="B314" i="3" s="1"/>
  <c r="Z314" i="3" l="1"/>
  <c r="AC314" i="3"/>
  <c r="AA314" i="3"/>
  <c r="P314" i="3"/>
  <c r="Q314" i="3" s="1"/>
  <c r="R314" i="3" s="1"/>
  <c r="S314" i="3" s="1"/>
  <c r="L313" i="3"/>
  <c r="W313" i="3"/>
  <c r="U313" i="3" l="1"/>
  <c r="Y312" i="3"/>
  <c r="T314" i="3"/>
  <c r="D314" i="3" l="1"/>
  <c r="G314" i="3" s="1"/>
  <c r="AG314" i="3"/>
  <c r="AH314" i="3"/>
  <c r="E314" i="3"/>
  <c r="H314" i="3" s="1"/>
  <c r="F314" i="3" l="1"/>
  <c r="I314" i="3"/>
  <c r="J314" i="3"/>
  <c r="AD314" i="3" s="1"/>
  <c r="M314" i="3"/>
  <c r="N314" i="3" s="1"/>
  <c r="K314" i="3"/>
  <c r="AE314" i="3" s="1"/>
  <c r="V314" i="3" l="1"/>
  <c r="W314" i="3" s="1"/>
  <c r="A315" i="3"/>
  <c r="B315" i="3" s="1"/>
  <c r="L314" i="3"/>
  <c r="U314" i="3" l="1"/>
  <c r="Y313" i="3"/>
  <c r="Z315" i="3"/>
  <c r="P315" i="3"/>
  <c r="Q315" i="3" s="1"/>
  <c r="R315" i="3" s="1"/>
  <c r="S315" i="3" s="1"/>
  <c r="AA315" i="3"/>
  <c r="AC315" i="3"/>
  <c r="T315" i="3" l="1"/>
  <c r="D315" i="3" s="1"/>
  <c r="AH315" i="3" l="1"/>
  <c r="AG315" i="3"/>
  <c r="E315" i="3"/>
  <c r="H315" i="3" s="1"/>
  <c r="K315" i="3" s="1"/>
  <c r="AE315" i="3" s="1"/>
  <c r="G315" i="3"/>
  <c r="F315" i="3" l="1"/>
  <c r="I315" i="3"/>
  <c r="J315" i="3"/>
  <c r="AD315" i="3" s="1"/>
  <c r="M315" i="3"/>
  <c r="N315" i="3" s="1"/>
  <c r="V315" i="3"/>
  <c r="A316" i="3"/>
  <c r="B316" i="3" s="1"/>
  <c r="W315" i="3" l="1"/>
  <c r="L315" i="3"/>
  <c r="Z316" i="3"/>
  <c r="AC316" i="3"/>
  <c r="P316" i="3"/>
  <c r="Q316" i="3" s="1"/>
  <c r="R316" i="3" s="1"/>
  <c r="S316" i="3" s="1"/>
  <c r="AA316" i="3"/>
  <c r="U315" i="3" l="1"/>
  <c r="Y314" i="3"/>
  <c r="T316" i="3"/>
  <c r="AG316" i="3" s="1"/>
  <c r="D316" i="3" l="1"/>
  <c r="AH316" i="3"/>
  <c r="E316" i="3"/>
  <c r="H316" i="3" s="1"/>
  <c r="F316" i="3" l="1"/>
  <c r="G316" i="3"/>
  <c r="K316" i="3"/>
  <c r="AE316" i="3" s="1"/>
  <c r="V316" i="3" l="1"/>
  <c r="A317" i="3"/>
  <c r="B317" i="3" s="1"/>
  <c r="I316" i="3"/>
  <c r="J316" i="3"/>
  <c r="AD316" i="3" s="1"/>
  <c r="M316" i="3"/>
  <c r="N316" i="3" s="1"/>
  <c r="W316" i="3" l="1"/>
  <c r="L316" i="3"/>
  <c r="Z317" i="3"/>
  <c r="AA317" i="3"/>
  <c r="P317" i="3"/>
  <c r="Q317" i="3" s="1"/>
  <c r="R317" i="3" s="1"/>
  <c r="S317" i="3" s="1"/>
  <c r="AC317" i="3"/>
  <c r="T317" i="3" l="1"/>
  <c r="AG317" i="3" s="1"/>
  <c r="U316" i="3"/>
  <c r="Y315" i="3"/>
  <c r="E317" i="3" l="1"/>
  <c r="H317" i="3" s="1"/>
  <c r="K317" i="3" s="1"/>
  <c r="AE317" i="3" s="1"/>
  <c r="D317" i="3"/>
  <c r="AH317" i="3"/>
  <c r="V317" i="3" l="1"/>
  <c r="A318" i="3"/>
  <c r="B318" i="3" s="1"/>
  <c r="F317" i="3"/>
  <c r="G317" i="3"/>
  <c r="I317" i="3" l="1"/>
  <c r="W317" i="3" s="1"/>
  <c r="J317" i="3"/>
  <c r="AD317" i="3" s="1"/>
  <c r="M317" i="3"/>
  <c r="N317" i="3" s="1"/>
  <c r="AA318" i="3"/>
  <c r="P318" i="3"/>
  <c r="Q318" i="3" s="1"/>
  <c r="R318" i="3" s="1"/>
  <c r="S318" i="3" s="1"/>
  <c r="Z318" i="3"/>
  <c r="AC318" i="3"/>
  <c r="T318" i="3" l="1"/>
  <c r="L317" i="3"/>
  <c r="AH318" i="3" l="1"/>
  <c r="AG318" i="3"/>
  <c r="U317" i="3"/>
  <c r="E318" i="3" s="1"/>
  <c r="H318" i="3" s="1"/>
  <c r="Y316" i="3"/>
  <c r="K318" i="3" l="1"/>
  <c r="AE318" i="3" s="1"/>
  <c r="D318" i="3"/>
  <c r="V318" i="3" l="1"/>
  <c r="A319" i="3"/>
  <c r="B319" i="3" s="1"/>
  <c r="F318" i="3"/>
  <c r="G318" i="3"/>
  <c r="I318" i="3" l="1"/>
  <c r="W318" i="3" s="1"/>
  <c r="J318" i="3"/>
  <c r="AD318" i="3" s="1"/>
  <c r="M318" i="3"/>
  <c r="N318" i="3" s="1"/>
  <c r="Z319" i="3"/>
  <c r="AC319" i="3"/>
  <c r="P319" i="3"/>
  <c r="Q319" i="3" s="1"/>
  <c r="R319" i="3" s="1"/>
  <c r="S319" i="3" s="1"/>
  <c r="AA319" i="3"/>
  <c r="T319" i="3" l="1"/>
  <c r="L318" i="3"/>
  <c r="U318" i="3" l="1"/>
  <c r="E319" i="3" s="1"/>
  <c r="H319" i="3" s="1"/>
  <c r="AH319" i="3"/>
  <c r="AG319" i="3"/>
  <c r="Y317" i="3"/>
  <c r="D319" i="3" l="1"/>
  <c r="G319" i="3" s="1"/>
  <c r="K319" i="3"/>
  <c r="AE319" i="3" s="1"/>
  <c r="F319" i="3" l="1"/>
  <c r="V319" i="3"/>
  <c r="A320" i="3"/>
  <c r="B320" i="3" s="1"/>
  <c r="I319" i="3"/>
  <c r="J319" i="3"/>
  <c r="AD319" i="3" s="1"/>
  <c r="M319" i="3"/>
  <c r="N319" i="3" s="1"/>
  <c r="L319" i="3" l="1"/>
  <c r="W319" i="3"/>
  <c r="AA320" i="3"/>
  <c r="AC320" i="3"/>
  <c r="P320" i="3"/>
  <c r="Q320" i="3" s="1"/>
  <c r="R320" i="3" s="1"/>
  <c r="S320" i="3" s="1"/>
  <c r="Z320" i="3"/>
  <c r="U319" i="3" l="1"/>
  <c r="Y318" i="3"/>
  <c r="T320" i="3"/>
  <c r="AH320" i="3" s="1"/>
  <c r="D320" i="3" l="1"/>
  <c r="AG320" i="3"/>
  <c r="E320" i="3"/>
  <c r="H320" i="3" s="1"/>
  <c r="F320" i="3" l="1"/>
  <c r="G320" i="3"/>
  <c r="K320" i="3"/>
  <c r="AE320" i="3" s="1"/>
  <c r="I320" i="3" l="1"/>
  <c r="J320" i="3"/>
  <c r="AD320" i="3" s="1"/>
  <c r="M320" i="3"/>
  <c r="N320" i="3" s="1"/>
  <c r="V320" i="3"/>
  <c r="A321" i="3"/>
  <c r="B321" i="3" s="1"/>
  <c r="W320" i="3" l="1"/>
  <c r="L320" i="3"/>
  <c r="AC321" i="3"/>
  <c r="AA321" i="3"/>
  <c r="Z321" i="3"/>
  <c r="P321" i="3"/>
  <c r="Q321" i="3" s="1"/>
  <c r="R321" i="3" s="1"/>
  <c r="S321" i="3" s="1"/>
  <c r="U320" i="3" l="1"/>
  <c r="Y319" i="3"/>
  <c r="T321" i="3"/>
  <c r="D321" i="3" l="1"/>
  <c r="G321" i="3" s="1"/>
  <c r="AH321" i="3"/>
  <c r="E321" i="3"/>
  <c r="H321" i="3" s="1"/>
  <c r="AG321" i="3"/>
  <c r="F321" i="3" l="1"/>
  <c r="I321" i="3"/>
  <c r="J321" i="3"/>
  <c r="AD321" i="3" s="1"/>
  <c r="M321" i="3"/>
  <c r="N321" i="3" s="1"/>
  <c r="K321" i="3"/>
  <c r="AE321" i="3" s="1"/>
  <c r="V321" i="3" l="1"/>
  <c r="W321" i="3" s="1"/>
  <c r="A322" i="3"/>
  <c r="B322" i="3" s="1"/>
  <c r="L321" i="3"/>
  <c r="U321" i="3" l="1"/>
  <c r="Y320" i="3"/>
  <c r="P322" i="3"/>
  <c r="Q322" i="3" s="1"/>
  <c r="R322" i="3" s="1"/>
  <c r="S322" i="3" s="1"/>
  <c r="Z322" i="3"/>
  <c r="AC322" i="3"/>
  <c r="AA322" i="3"/>
  <c r="T322" i="3" l="1"/>
  <c r="AH322" i="3" s="1"/>
  <c r="E322" i="3" l="1"/>
  <c r="H322" i="3" s="1"/>
  <c r="K322" i="3" s="1"/>
  <c r="AE322" i="3" s="1"/>
  <c r="AG322" i="3"/>
  <c r="D322" i="3"/>
  <c r="V322" i="3" l="1"/>
  <c r="A323" i="3"/>
  <c r="B323" i="3" s="1"/>
  <c r="F322" i="3"/>
  <c r="G322" i="3"/>
  <c r="I322" i="3" l="1"/>
  <c r="W322" i="3" s="1"/>
  <c r="J322" i="3"/>
  <c r="AD322" i="3" s="1"/>
  <c r="M322" i="3"/>
  <c r="N322" i="3" s="1"/>
  <c r="P323" i="3"/>
  <c r="Q323" i="3" s="1"/>
  <c r="R323" i="3" s="1"/>
  <c r="S323" i="3" s="1"/>
  <c r="AA323" i="3"/>
  <c r="Z323" i="3"/>
  <c r="AC323" i="3"/>
  <c r="T323" i="3" l="1"/>
  <c r="L322" i="3"/>
  <c r="AH323" i="3" l="1"/>
  <c r="U322" i="3"/>
  <c r="D323" i="3" s="1"/>
  <c r="AG323" i="3"/>
  <c r="Y321" i="3"/>
  <c r="G323" i="3" l="1"/>
  <c r="E323" i="3"/>
  <c r="H323" i="3" s="1"/>
  <c r="F323" i="3" l="1"/>
  <c r="K323" i="3"/>
  <c r="AE323" i="3" s="1"/>
  <c r="I323" i="3"/>
  <c r="J323" i="3"/>
  <c r="AD323" i="3" s="1"/>
  <c r="M323" i="3"/>
  <c r="N323" i="3" s="1"/>
  <c r="L323" i="3" l="1"/>
  <c r="V323" i="3"/>
  <c r="W323" i="3" s="1"/>
  <c r="A324" i="3"/>
  <c r="B324" i="3" s="1"/>
  <c r="U323" i="3" l="1"/>
  <c r="Y322" i="3"/>
  <c r="Z324" i="3"/>
  <c r="P324" i="3"/>
  <c r="Q324" i="3" s="1"/>
  <c r="R324" i="3" s="1"/>
  <c r="S324" i="3" s="1"/>
  <c r="AA324" i="3"/>
  <c r="AC324" i="3"/>
  <c r="T324" i="3" l="1"/>
  <c r="AG324" i="3" s="1"/>
  <c r="E324" i="3" l="1"/>
  <c r="H324" i="3" s="1"/>
  <c r="K324" i="3" s="1"/>
  <c r="AE324" i="3" s="1"/>
  <c r="AH324" i="3"/>
  <c r="D324" i="3"/>
  <c r="V324" i="3" l="1"/>
  <c r="A325" i="3"/>
  <c r="B325" i="3" s="1"/>
  <c r="F324" i="3"/>
  <c r="G324" i="3"/>
  <c r="I324" i="3" l="1"/>
  <c r="W324" i="3" s="1"/>
  <c r="J324" i="3"/>
  <c r="AD324" i="3" s="1"/>
  <c r="M324" i="3"/>
  <c r="N324" i="3" s="1"/>
  <c r="P325" i="3"/>
  <c r="Q325" i="3" s="1"/>
  <c r="R325" i="3" s="1"/>
  <c r="S325" i="3" s="1"/>
  <c r="AC325" i="3"/>
  <c r="Z325" i="3"/>
  <c r="AA325" i="3"/>
  <c r="T325" i="3" l="1"/>
  <c r="L324" i="3"/>
  <c r="AG325" i="3" l="1"/>
  <c r="U324" i="3"/>
  <c r="D325" i="3" s="1"/>
  <c r="AH325" i="3"/>
  <c r="Y323" i="3"/>
  <c r="E325" i="3" l="1"/>
  <c r="H325" i="3" s="1"/>
  <c r="K325" i="3" s="1"/>
  <c r="AE325" i="3" s="1"/>
  <c r="G325" i="3"/>
  <c r="F325" i="3" l="1"/>
  <c r="V325" i="3"/>
  <c r="A326" i="3"/>
  <c r="B326" i="3" s="1"/>
  <c r="I325" i="3"/>
  <c r="J325" i="3"/>
  <c r="AD325" i="3" s="1"/>
  <c r="M325" i="3"/>
  <c r="N325" i="3" s="1"/>
  <c r="L325" i="3" l="1"/>
  <c r="W325" i="3"/>
  <c r="P326" i="3"/>
  <c r="Q326" i="3" s="1"/>
  <c r="R326" i="3" s="1"/>
  <c r="S326" i="3" s="1"/>
  <c r="AA326" i="3"/>
  <c r="AC326" i="3"/>
  <c r="Z326" i="3"/>
  <c r="U325" i="3" l="1"/>
  <c r="Y324" i="3"/>
  <c r="T326" i="3"/>
  <c r="AH326" i="3" s="1"/>
  <c r="E326" i="3" l="1"/>
  <c r="H326" i="3" s="1"/>
  <c r="K326" i="3" s="1"/>
  <c r="AE326" i="3" s="1"/>
  <c r="AG326" i="3"/>
  <c r="D326" i="3"/>
  <c r="G326" i="3" s="1"/>
  <c r="F326" i="3" l="1"/>
  <c r="I326" i="3"/>
  <c r="J326" i="3"/>
  <c r="AD326" i="3" s="1"/>
  <c r="M326" i="3"/>
  <c r="N326" i="3" s="1"/>
  <c r="V326" i="3"/>
  <c r="A327" i="3"/>
  <c r="B327" i="3" s="1"/>
  <c r="W326" i="3" l="1"/>
  <c r="L326" i="3"/>
  <c r="Z327" i="3"/>
  <c r="AA327" i="3"/>
  <c r="P327" i="3"/>
  <c r="Q327" i="3" s="1"/>
  <c r="R327" i="3" s="1"/>
  <c r="S327" i="3" s="1"/>
  <c r="AC327" i="3"/>
  <c r="U326" i="3" l="1"/>
  <c r="Y325" i="3"/>
  <c r="T327" i="3"/>
  <c r="AH327" i="3" s="1"/>
  <c r="E327" i="3" l="1"/>
  <c r="H327" i="3" s="1"/>
  <c r="K327" i="3" s="1"/>
  <c r="AE327" i="3" s="1"/>
  <c r="D327" i="3"/>
  <c r="AG327" i="3"/>
  <c r="F327" i="3" l="1"/>
  <c r="G327" i="3"/>
  <c r="M327" i="3" s="1"/>
  <c r="N327" i="3" s="1"/>
  <c r="V327" i="3"/>
  <c r="A328" i="3"/>
  <c r="B328" i="3" s="1"/>
  <c r="I327" i="3" l="1"/>
  <c r="W327" i="3" s="1"/>
  <c r="J327" i="3"/>
  <c r="Z328" i="3"/>
  <c r="P328" i="3"/>
  <c r="Q328" i="3" s="1"/>
  <c r="R328" i="3" s="1"/>
  <c r="S328" i="3" s="1"/>
  <c r="AA328" i="3"/>
  <c r="AC328" i="3"/>
  <c r="L327" i="3" l="1"/>
  <c r="U327" i="3" s="1"/>
  <c r="AD327" i="3"/>
  <c r="T328" i="3"/>
  <c r="AG328" i="3" l="1"/>
  <c r="Y326" i="3"/>
  <c r="AH328" i="3"/>
  <c r="E328" i="3"/>
  <c r="H328" i="3" s="1"/>
  <c r="K328" i="3" s="1"/>
  <c r="AE328" i="3" s="1"/>
  <c r="D328" i="3"/>
  <c r="V328" i="3" l="1"/>
  <c r="A329" i="3"/>
  <c r="B329" i="3" s="1"/>
  <c r="F328" i="3"/>
  <c r="G328" i="3"/>
  <c r="I328" i="3" l="1"/>
  <c r="W328" i="3" s="1"/>
  <c r="J328" i="3"/>
  <c r="AD328" i="3" s="1"/>
  <c r="M328" i="3"/>
  <c r="N328" i="3" s="1"/>
  <c r="P329" i="3"/>
  <c r="Q329" i="3" s="1"/>
  <c r="R329" i="3" s="1"/>
  <c r="S329" i="3" s="1"/>
  <c r="Z329" i="3"/>
  <c r="AC329" i="3"/>
  <c r="AA329" i="3"/>
  <c r="T329" i="3" l="1"/>
  <c r="L328" i="3"/>
  <c r="AH329" i="3" l="1"/>
  <c r="U328" i="3"/>
  <c r="D329" i="3" s="1"/>
  <c r="AG329" i="3"/>
  <c r="Y327" i="3"/>
  <c r="E329" i="3" l="1"/>
  <c r="H329" i="3" s="1"/>
  <c r="K329" i="3" s="1"/>
  <c r="AE329" i="3" s="1"/>
  <c r="G329" i="3"/>
  <c r="F329" i="3" l="1"/>
  <c r="I329" i="3"/>
  <c r="J329" i="3"/>
  <c r="AD329" i="3" s="1"/>
  <c r="M329" i="3"/>
  <c r="N329" i="3" s="1"/>
  <c r="V329" i="3"/>
  <c r="A330" i="3"/>
  <c r="B330" i="3" s="1"/>
  <c r="W329" i="3" l="1"/>
  <c r="L329" i="3"/>
  <c r="AA330" i="3"/>
  <c r="AC330" i="3"/>
  <c r="P330" i="3"/>
  <c r="Q330" i="3" s="1"/>
  <c r="R330" i="3" s="1"/>
  <c r="S330" i="3" s="1"/>
  <c r="Z330" i="3"/>
  <c r="U329" i="3" l="1"/>
  <c r="Y328" i="3"/>
  <c r="T330" i="3"/>
  <c r="AH330" i="3" s="1"/>
  <c r="AG330" i="3" l="1"/>
  <c r="E330" i="3"/>
  <c r="H330" i="3" s="1"/>
  <c r="D330" i="3"/>
  <c r="K330" i="3" l="1"/>
  <c r="AE330" i="3" s="1"/>
  <c r="F330" i="3"/>
  <c r="G330" i="3"/>
  <c r="I330" i="3" l="1"/>
  <c r="J330" i="3"/>
  <c r="AD330" i="3" s="1"/>
  <c r="M330" i="3"/>
  <c r="N330" i="3" s="1"/>
  <c r="V330" i="3"/>
  <c r="A331" i="3"/>
  <c r="B331" i="3" s="1"/>
  <c r="W330" i="3" l="1"/>
  <c r="L330" i="3"/>
  <c r="P331" i="3"/>
  <c r="Q331" i="3" s="1"/>
  <c r="R331" i="3" s="1"/>
  <c r="S331" i="3" s="1"/>
  <c r="AA331" i="3"/>
  <c r="AC331" i="3"/>
  <c r="Z331" i="3"/>
  <c r="U330" i="3" l="1"/>
  <c r="Y329" i="3"/>
  <c r="T331" i="3"/>
  <c r="D331" i="3" l="1"/>
  <c r="G331" i="3" s="1"/>
  <c r="AH331" i="3"/>
  <c r="AG331" i="3"/>
  <c r="E331" i="3"/>
  <c r="H331" i="3" s="1"/>
  <c r="F331" i="3" l="1"/>
  <c r="I331" i="3"/>
  <c r="J331" i="3"/>
  <c r="AD331" i="3" s="1"/>
  <c r="M331" i="3"/>
  <c r="N331" i="3" s="1"/>
  <c r="K331" i="3"/>
  <c r="AE331" i="3" s="1"/>
  <c r="V331" i="3" l="1"/>
  <c r="W331" i="3" s="1"/>
  <c r="A332" i="3"/>
  <c r="B332" i="3" s="1"/>
  <c r="L331" i="3"/>
  <c r="U331" i="3" l="1"/>
  <c r="Y330" i="3"/>
  <c r="AA332" i="3"/>
  <c r="Z332" i="3"/>
  <c r="AC332" i="3"/>
  <c r="P332" i="3"/>
  <c r="Q332" i="3" s="1"/>
  <c r="R332" i="3" s="1"/>
  <c r="S332" i="3" s="1"/>
  <c r="T332" i="3" l="1"/>
  <c r="AG332" i="3" s="1"/>
  <c r="E332" i="3" l="1"/>
  <c r="H332" i="3" s="1"/>
  <c r="K332" i="3" s="1"/>
  <c r="AE332" i="3" s="1"/>
  <c r="D332" i="3"/>
  <c r="AH332" i="3"/>
  <c r="V332" i="3" l="1"/>
  <c r="A333" i="3"/>
  <c r="B333" i="3" s="1"/>
  <c r="F332" i="3"/>
  <c r="G332" i="3"/>
  <c r="I332" i="3" l="1"/>
  <c r="W332" i="3" s="1"/>
  <c r="J332" i="3"/>
  <c r="AD332" i="3" s="1"/>
  <c r="M332" i="3"/>
  <c r="N332" i="3" s="1"/>
  <c r="AA333" i="3"/>
  <c r="P333" i="3"/>
  <c r="Q333" i="3" s="1"/>
  <c r="R333" i="3" s="1"/>
  <c r="S333" i="3" s="1"/>
  <c r="Z333" i="3"/>
  <c r="AC333" i="3"/>
  <c r="T333" i="3" l="1"/>
  <c r="L332" i="3"/>
  <c r="AH333" i="3" l="1"/>
  <c r="AG333" i="3"/>
  <c r="U332" i="3"/>
  <c r="D333" i="3" s="1"/>
  <c r="Y331" i="3"/>
  <c r="E333" i="3" l="1"/>
  <c r="H333" i="3" s="1"/>
  <c r="K333" i="3" s="1"/>
  <c r="AE333" i="3" s="1"/>
  <c r="G333" i="3"/>
  <c r="F333" i="3" l="1"/>
  <c r="I333" i="3"/>
  <c r="J333" i="3"/>
  <c r="AD333" i="3" s="1"/>
  <c r="M333" i="3"/>
  <c r="N333" i="3" s="1"/>
  <c r="V333" i="3"/>
  <c r="A334" i="3"/>
  <c r="B334" i="3" s="1"/>
  <c r="W333" i="3" l="1"/>
  <c r="L333" i="3"/>
  <c r="AA334" i="3"/>
  <c r="P334" i="3"/>
  <c r="Q334" i="3" s="1"/>
  <c r="R334" i="3" s="1"/>
  <c r="S334" i="3" s="1"/>
  <c r="Z334" i="3"/>
  <c r="AC334" i="3"/>
  <c r="T334" i="3" l="1"/>
  <c r="AH334" i="3" s="1"/>
  <c r="U333" i="3"/>
  <c r="Y332" i="3"/>
  <c r="D334" i="3" l="1"/>
  <c r="G334" i="3" s="1"/>
  <c r="E334" i="3"/>
  <c r="H334" i="3" s="1"/>
  <c r="AG334" i="3"/>
  <c r="F334" i="3" l="1"/>
  <c r="I334" i="3"/>
  <c r="J334" i="3"/>
  <c r="AD334" i="3" s="1"/>
  <c r="M334" i="3"/>
  <c r="N334" i="3" s="1"/>
  <c r="K334" i="3"/>
  <c r="AE334" i="3" s="1"/>
  <c r="L334" i="3" l="1"/>
  <c r="V334" i="3"/>
  <c r="W334" i="3" s="1"/>
  <c r="A335" i="3"/>
  <c r="B335" i="3" s="1"/>
  <c r="U334" i="3" l="1"/>
  <c r="Y333" i="3"/>
  <c r="AC335" i="3"/>
  <c r="P335" i="3"/>
  <c r="Q335" i="3" s="1"/>
  <c r="R335" i="3" s="1"/>
  <c r="S335" i="3" s="1"/>
  <c r="AA335" i="3"/>
  <c r="Z335" i="3"/>
  <c r="T335" i="3" l="1"/>
  <c r="AG335" i="3" s="1"/>
  <c r="AH335" i="3" l="1"/>
  <c r="D335" i="3"/>
  <c r="E335" i="3"/>
  <c r="H335" i="3" s="1"/>
  <c r="F335" i="3" l="1"/>
  <c r="G335" i="3"/>
  <c r="K335" i="3"/>
  <c r="AE335" i="3" s="1"/>
  <c r="I335" i="3" l="1"/>
  <c r="J335" i="3"/>
  <c r="AD335" i="3" s="1"/>
  <c r="M335" i="3"/>
  <c r="N335" i="3" s="1"/>
  <c r="V335" i="3"/>
  <c r="A336" i="3"/>
  <c r="B336" i="3" s="1"/>
  <c r="W335" i="3" l="1"/>
  <c r="L335" i="3"/>
  <c r="AA336" i="3"/>
  <c r="P336" i="3"/>
  <c r="Q336" i="3" s="1"/>
  <c r="R336" i="3" s="1"/>
  <c r="S336" i="3" s="1"/>
  <c r="AC336" i="3"/>
  <c r="Z336" i="3"/>
  <c r="T336" i="3" l="1"/>
  <c r="AG336" i="3" s="1"/>
  <c r="U335" i="3"/>
  <c r="Y334" i="3"/>
  <c r="E336" i="3" l="1"/>
  <c r="H336" i="3" s="1"/>
  <c r="D336" i="3"/>
  <c r="AH336" i="3"/>
  <c r="K336" i="3" l="1"/>
  <c r="AE336" i="3" s="1"/>
  <c r="F336" i="3"/>
  <c r="G336" i="3"/>
  <c r="I336" i="3" l="1"/>
  <c r="J336" i="3"/>
  <c r="AD336" i="3" s="1"/>
  <c r="M336" i="3"/>
  <c r="N336" i="3" s="1"/>
  <c r="V336" i="3"/>
  <c r="A337" i="3"/>
  <c r="B337" i="3" s="1"/>
  <c r="W336" i="3" l="1"/>
  <c r="P337" i="3"/>
  <c r="Q337" i="3" s="1"/>
  <c r="R337" i="3" s="1"/>
  <c r="S337" i="3" s="1"/>
  <c r="AC337" i="3"/>
  <c r="AA337" i="3"/>
  <c r="Z337" i="3"/>
  <c r="L336" i="3"/>
  <c r="T337" i="3" l="1"/>
  <c r="U336" i="3"/>
  <c r="Y335" i="3"/>
  <c r="E337" i="3" l="1"/>
  <c r="H337" i="3" s="1"/>
  <c r="K337" i="3" s="1"/>
  <c r="AE337" i="3" s="1"/>
  <c r="AH337" i="3"/>
  <c r="AG337" i="3"/>
  <c r="D337" i="3"/>
  <c r="V337" i="3" l="1"/>
  <c r="A338" i="3"/>
  <c r="B338" i="3" s="1"/>
  <c r="F337" i="3"/>
  <c r="G337" i="3"/>
  <c r="I337" i="3" l="1"/>
  <c r="W337" i="3" s="1"/>
  <c r="J337" i="3"/>
  <c r="AD337" i="3" s="1"/>
  <c r="M337" i="3"/>
  <c r="N337" i="3" s="1"/>
  <c r="P338" i="3"/>
  <c r="Q338" i="3" s="1"/>
  <c r="R338" i="3" s="1"/>
  <c r="S338" i="3" s="1"/>
  <c r="Z338" i="3"/>
  <c r="AC338" i="3"/>
  <c r="AA338" i="3"/>
  <c r="T338" i="3" l="1"/>
  <c r="L337" i="3"/>
  <c r="AH338" i="3" l="1"/>
  <c r="U337" i="3"/>
  <c r="E338" i="3" s="1"/>
  <c r="H338" i="3" s="1"/>
  <c r="AG338" i="3"/>
  <c r="Y336" i="3"/>
  <c r="D338" i="3" l="1"/>
  <c r="F338" i="3" s="1"/>
  <c r="K338" i="3"/>
  <c r="AE338" i="3" s="1"/>
  <c r="G338" i="3" l="1"/>
  <c r="M338" i="3" s="1"/>
  <c r="N338" i="3" s="1"/>
  <c r="V338" i="3"/>
  <c r="A339" i="3"/>
  <c r="B339" i="3" s="1"/>
  <c r="I338" i="3" l="1"/>
  <c r="W338" i="3" s="1"/>
  <c r="J338" i="3"/>
  <c r="Z339" i="3"/>
  <c r="P339" i="3"/>
  <c r="Q339" i="3" s="1"/>
  <c r="R339" i="3" s="1"/>
  <c r="S339" i="3" s="1"/>
  <c r="AA339" i="3"/>
  <c r="AC339" i="3"/>
  <c r="L338" i="3" l="1"/>
  <c r="U338" i="3" s="1"/>
  <c r="AD338" i="3"/>
  <c r="T339" i="3"/>
  <c r="Y337" i="3" l="1"/>
  <c r="AG339" i="3"/>
  <c r="AH339" i="3"/>
  <c r="E339" i="3"/>
  <c r="H339" i="3" s="1"/>
  <c r="D339" i="3"/>
  <c r="K339" i="3" l="1"/>
  <c r="AE339" i="3" s="1"/>
  <c r="F339" i="3"/>
  <c r="G339" i="3"/>
  <c r="V339" i="3" l="1"/>
  <c r="A340" i="3"/>
  <c r="B340" i="3" s="1"/>
  <c r="I339" i="3"/>
  <c r="J339" i="3"/>
  <c r="AD339" i="3" s="1"/>
  <c r="M339" i="3"/>
  <c r="N339" i="3" s="1"/>
  <c r="W339" i="3" l="1"/>
  <c r="L339" i="3"/>
  <c r="Z340" i="3"/>
  <c r="P340" i="3"/>
  <c r="Q340" i="3" s="1"/>
  <c r="R340" i="3" s="1"/>
  <c r="S340" i="3" s="1"/>
  <c r="AC340" i="3"/>
  <c r="AA340" i="3"/>
  <c r="T340" i="3" l="1"/>
  <c r="U339" i="3"/>
  <c r="Y338" i="3"/>
  <c r="D340" i="3" l="1"/>
  <c r="G340" i="3" s="1"/>
  <c r="E340" i="3"/>
  <c r="H340" i="3" s="1"/>
  <c r="K340" i="3" s="1"/>
  <c r="AE340" i="3" s="1"/>
  <c r="AH340" i="3"/>
  <c r="AG340" i="3"/>
  <c r="F340" i="3" l="1"/>
  <c r="V340" i="3"/>
  <c r="A341" i="3"/>
  <c r="B341" i="3" s="1"/>
  <c r="I340" i="3"/>
  <c r="J340" i="3"/>
  <c r="AD340" i="3" s="1"/>
  <c r="M340" i="3"/>
  <c r="N340" i="3" s="1"/>
  <c r="W340" i="3" l="1"/>
  <c r="L340" i="3"/>
  <c r="Z341" i="3"/>
  <c r="P341" i="3"/>
  <c r="Q341" i="3" s="1"/>
  <c r="R341" i="3" s="1"/>
  <c r="S341" i="3" s="1"/>
  <c r="AA341" i="3"/>
  <c r="AC341" i="3"/>
  <c r="U340" i="3" l="1"/>
  <c r="Y339" i="3"/>
  <c r="T341" i="3"/>
  <c r="AG341" i="3" s="1"/>
  <c r="D341" i="3" l="1"/>
  <c r="AH341" i="3"/>
  <c r="E341" i="3"/>
  <c r="H341" i="3" s="1"/>
  <c r="F341" i="3" l="1"/>
  <c r="G341" i="3"/>
  <c r="K341" i="3"/>
  <c r="AE341" i="3" s="1"/>
  <c r="I341" i="3" l="1"/>
  <c r="J341" i="3"/>
  <c r="AD341" i="3" s="1"/>
  <c r="M341" i="3"/>
  <c r="N341" i="3" s="1"/>
  <c r="V341" i="3"/>
  <c r="A342" i="3"/>
  <c r="B342" i="3" s="1"/>
  <c r="L341" i="3" l="1"/>
  <c r="W341" i="3"/>
  <c r="Z342" i="3"/>
  <c r="P342" i="3"/>
  <c r="Q342" i="3" s="1"/>
  <c r="R342" i="3" s="1"/>
  <c r="S342" i="3" s="1"/>
  <c r="AA342" i="3"/>
  <c r="AC342" i="3"/>
  <c r="U341" i="3" l="1"/>
  <c r="Y340" i="3"/>
  <c r="T342" i="3"/>
  <c r="D342" i="3" l="1"/>
  <c r="G342" i="3" s="1"/>
  <c r="AH342" i="3"/>
  <c r="E342" i="3"/>
  <c r="H342" i="3" s="1"/>
  <c r="AG342" i="3"/>
  <c r="F342" i="3" l="1"/>
  <c r="I342" i="3"/>
  <c r="J342" i="3"/>
  <c r="AD342" i="3" s="1"/>
  <c r="M342" i="3"/>
  <c r="N342" i="3" s="1"/>
  <c r="K342" i="3"/>
  <c r="AE342" i="3" s="1"/>
  <c r="V342" i="3" l="1"/>
  <c r="W342" i="3" s="1"/>
  <c r="A343" i="3"/>
  <c r="B343" i="3" s="1"/>
  <c r="L342" i="3"/>
  <c r="U342" i="3" l="1"/>
  <c r="Y341" i="3"/>
  <c r="P343" i="3"/>
  <c r="Q343" i="3" s="1"/>
  <c r="R343" i="3" s="1"/>
  <c r="S343" i="3" s="1"/>
  <c r="AA343" i="3"/>
  <c r="Z343" i="3"/>
  <c r="AC343" i="3"/>
  <c r="T343" i="3" l="1"/>
  <c r="D343" i="3" s="1"/>
  <c r="E343" i="3" l="1"/>
  <c r="H343" i="3" s="1"/>
  <c r="K343" i="3" s="1"/>
  <c r="AE343" i="3" s="1"/>
  <c r="G343" i="3"/>
  <c r="AG343" i="3"/>
  <c r="AH343" i="3"/>
  <c r="F343" i="3" l="1"/>
  <c r="I343" i="3"/>
  <c r="J343" i="3"/>
  <c r="AD343" i="3" s="1"/>
  <c r="M343" i="3"/>
  <c r="N343" i="3" s="1"/>
  <c r="V343" i="3"/>
  <c r="A344" i="3"/>
  <c r="B344" i="3" s="1"/>
  <c r="W343" i="3" l="1"/>
  <c r="L343" i="3"/>
  <c r="AA344" i="3"/>
  <c r="Z344" i="3"/>
  <c r="P344" i="3"/>
  <c r="Q344" i="3" s="1"/>
  <c r="R344" i="3" s="1"/>
  <c r="S344" i="3" s="1"/>
  <c r="AC344" i="3"/>
  <c r="U343" i="3" l="1"/>
  <c r="Y342" i="3"/>
  <c r="T344" i="3"/>
  <c r="AH344" i="3" s="1"/>
  <c r="AG344" i="3" l="1"/>
  <c r="E344" i="3"/>
  <c r="H344" i="3" s="1"/>
  <c r="D344" i="3"/>
  <c r="F344" i="3" l="1"/>
  <c r="G344" i="3"/>
  <c r="K344" i="3"/>
  <c r="AE344" i="3" s="1"/>
  <c r="I344" i="3" l="1"/>
  <c r="J344" i="3"/>
  <c r="AD344" i="3" s="1"/>
  <c r="M344" i="3"/>
  <c r="N344" i="3" s="1"/>
  <c r="V344" i="3"/>
  <c r="A345" i="3"/>
  <c r="B345" i="3" s="1"/>
  <c r="W344" i="3" l="1"/>
  <c r="P345" i="3"/>
  <c r="Q345" i="3" s="1"/>
  <c r="R345" i="3" s="1"/>
  <c r="S345" i="3" s="1"/>
  <c r="Z345" i="3"/>
  <c r="AC345" i="3"/>
  <c r="AD345" i="3"/>
  <c r="AA345" i="3"/>
  <c r="L344" i="3"/>
  <c r="T345" i="3" l="1"/>
  <c r="U344" i="3"/>
  <c r="Y343" i="3"/>
  <c r="E345" i="3" l="1"/>
  <c r="H345" i="3" s="1"/>
  <c r="K345" i="3" s="1"/>
  <c r="AE345" i="3" s="1"/>
  <c r="AH345" i="3"/>
  <c r="D345" i="3"/>
  <c r="AG345" i="3"/>
  <c r="F345" i="3" l="1"/>
  <c r="G345" i="3"/>
  <c r="V345" i="3"/>
  <c r="A346" i="3"/>
  <c r="B346" i="3" s="1"/>
  <c r="AD346" i="3" l="1"/>
  <c r="AC346" i="3"/>
  <c r="P346" i="3"/>
  <c r="Q346" i="3" s="1"/>
  <c r="R346" i="3" s="1"/>
  <c r="S346" i="3" s="1"/>
  <c r="AA346" i="3"/>
  <c r="Z346" i="3"/>
  <c r="I345" i="3"/>
  <c r="W345" i="3" s="1"/>
  <c r="J345" i="3"/>
  <c r="M345" i="3"/>
  <c r="N345" i="3" s="1"/>
  <c r="L345" i="3" l="1"/>
  <c r="T346" i="3"/>
  <c r="AH346" i="3" l="1"/>
  <c r="AG346" i="3"/>
  <c r="U345" i="3"/>
  <c r="D346" i="3" s="1"/>
  <c r="Y344" i="3"/>
  <c r="G346" i="3" l="1"/>
  <c r="E346" i="3"/>
  <c r="H346" i="3" s="1"/>
  <c r="F346" i="3" l="1"/>
  <c r="I346" i="3"/>
  <c r="J346" i="3"/>
  <c r="M346" i="3"/>
  <c r="N346" i="3" s="1"/>
  <c r="K346" i="3"/>
  <c r="AE346" i="3" s="1"/>
  <c r="V346" i="3" l="1"/>
  <c r="W346" i="3" s="1"/>
  <c r="A347" i="3"/>
  <c r="B347" i="3" s="1"/>
  <c r="L346" i="3"/>
  <c r="U346" i="3" l="1"/>
  <c r="Y345" i="3"/>
  <c r="AC347" i="3"/>
  <c r="Z347" i="3"/>
  <c r="AA347" i="3"/>
  <c r="P347" i="3"/>
  <c r="Q347" i="3" s="1"/>
  <c r="R347" i="3" s="1"/>
  <c r="S347" i="3" s="1"/>
  <c r="T347" i="3" l="1"/>
  <c r="E347" i="3" s="1"/>
  <c r="H347" i="3" s="1"/>
  <c r="K347" i="3" l="1"/>
  <c r="AE347" i="3" s="1"/>
  <c r="AH347" i="3"/>
  <c r="AG347" i="3"/>
  <c r="D347" i="3"/>
  <c r="F347" i="3" l="1"/>
  <c r="G347" i="3"/>
  <c r="V347" i="3"/>
  <c r="A348" i="3"/>
  <c r="B348" i="3" s="1"/>
  <c r="I347" i="3" l="1"/>
  <c r="W347" i="3" s="1"/>
  <c r="J347" i="3"/>
  <c r="AD347" i="3" s="1"/>
  <c r="M347" i="3"/>
  <c r="N347" i="3" s="1"/>
  <c r="AC348" i="3"/>
  <c r="AA348" i="3"/>
  <c r="P348" i="3"/>
  <c r="Q348" i="3" s="1"/>
  <c r="R348" i="3" s="1"/>
  <c r="S348" i="3" s="1"/>
  <c r="AD348" i="3"/>
  <c r="Z348" i="3"/>
  <c r="L347" i="3" l="1"/>
  <c r="T348" i="3"/>
  <c r="U347" i="3" l="1"/>
  <c r="D348" i="3" s="1"/>
  <c r="AH348" i="3"/>
  <c r="AG348" i="3"/>
  <c r="Y346" i="3"/>
  <c r="E348" i="3" l="1"/>
  <c r="H348" i="3" s="1"/>
  <c r="K348" i="3" s="1"/>
  <c r="AE348" i="3" s="1"/>
  <c r="G348" i="3"/>
  <c r="F348" i="3" l="1"/>
  <c r="I348" i="3"/>
  <c r="J348" i="3"/>
  <c r="M348" i="3"/>
  <c r="N348" i="3" s="1"/>
  <c r="V348" i="3"/>
  <c r="A349" i="3"/>
  <c r="B349" i="3" s="1"/>
  <c r="W348" i="3" l="1"/>
  <c r="L348" i="3"/>
  <c r="AC349" i="3"/>
  <c r="P349" i="3"/>
  <c r="Q349" i="3" s="1"/>
  <c r="R349" i="3" s="1"/>
  <c r="S349" i="3" s="1"/>
  <c r="AA349" i="3"/>
  <c r="Z349" i="3"/>
  <c r="AD349" i="3"/>
  <c r="U348" i="3" l="1"/>
  <c r="Y347" i="3"/>
  <c r="T349" i="3"/>
  <c r="AG349" i="3" s="1"/>
  <c r="E349" i="3" l="1"/>
  <c r="H349" i="3" s="1"/>
  <c r="K349" i="3" s="1"/>
  <c r="AE349" i="3" s="1"/>
  <c r="D349" i="3"/>
  <c r="AH349" i="3"/>
  <c r="V349" i="3" l="1"/>
  <c r="A350" i="3"/>
  <c r="B350" i="3" s="1"/>
  <c r="F349" i="3"/>
  <c r="G349" i="3"/>
  <c r="I349" i="3" l="1"/>
  <c r="W349" i="3" s="1"/>
  <c r="J349" i="3"/>
  <c r="M349" i="3"/>
  <c r="N349" i="3" s="1"/>
  <c r="AD350" i="3"/>
  <c r="P350" i="3"/>
  <c r="Q350" i="3" s="1"/>
  <c r="R350" i="3" s="1"/>
  <c r="S350" i="3" s="1"/>
  <c r="Z350" i="3"/>
  <c r="AC350" i="3"/>
  <c r="AA350" i="3"/>
  <c r="T350" i="3" l="1"/>
  <c r="L349" i="3"/>
  <c r="U349" i="3" l="1"/>
  <c r="D350" i="3" s="1"/>
  <c r="AG350" i="3"/>
  <c r="AH350" i="3"/>
  <c r="Y348" i="3"/>
  <c r="E350" i="3" l="1"/>
  <c r="H350" i="3" s="1"/>
  <c r="K350" i="3" s="1"/>
  <c r="AE350" i="3" s="1"/>
  <c r="G350" i="3"/>
  <c r="F350" i="3" l="1"/>
  <c r="V350" i="3"/>
  <c r="A351" i="3"/>
  <c r="B351" i="3" s="1"/>
  <c r="I350" i="3"/>
  <c r="J350" i="3"/>
  <c r="M350" i="3"/>
  <c r="N350" i="3" s="1"/>
  <c r="W350" i="3" l="1"/>
  <c r="L350" i="3"/>
  <c r="AA351" i="3"/>
  <c r="P351" i="3"/>
  <c r="Q351" i="3" s="1"/>
  <c r="R351" i="3" s="1"/>
  <c r="S351" i="3" s="1"/>
  <c r="Z351" i="3"/>
  <c r="AC351" i="3"/>
  <c r="U350" i="3" l="1"/>
  <c r="Y349" i="3"/>
  <c r="T351" i="3"/>
  <c r="D351" i="3" l="1"/>
  <c r="G351" i="3" s="1"/>
  <c r="AH351" i="3"/>
  <c r="E351" i="3"/>
  <c r="H351" i="3" s="1"/>
  <c r="K351" i="3" s="1"/>
  <c r="AE351" i="3" s="1"/>
  <c r="AG351" i="3"/>
  <c r="F351" i="3" l="1"/>
  <c r="V351" i="3"/>
  <c r="A352" i="3"/>
  <c r="B352" i="3" s="1"/>
  <c r="I351" i="3"/>
  <c r="J351" i="3"/>
  <c r="AD351" i="3" s="1"/>
  <c r="M351" i="3"/>
  <c r="N351" i="3" s="1"/>
  <c r="L351" i="3" l="1"/>
  <c r="W351" i="3"/>
  <c r="AC352" i="3"/>
  <c r="AD352" i="3"/>
  <c r="P352" i="3"/>
  <c r="Q352" i="3" s="1"/>
  <c r="R352" i="3" s="1"/>
  <c r="S352" i="3" s="1"/>
  <c r="AA352" i="3"/>
  <c r="Z352" i="3"/>
  <c r="U351" i="3" l="1"/>
  <c r="Y350" i="3"/>
  <c r="T352" i="3"/>
  <c r="E352" i="3" l="1"/>
  <c r="H352" i="3" s="1"/>
  <c r="K352" i="3" s="1"/>
  <c r="AE352" i="3" s="1"/>
  <c r="AH352" i="3"/>
  <c r="D352" i="3"/>
  <c r="AG352" i="3"/>
  <c r="F352" i="3" l="1"/>
  <c r="G352" i="3"/>
  <c r="V352" i="3"/>
  <c r="A353" i="3"/>
  <c r="B353" i="3" s="1"/>
  <c r="AC353" i="3" l="1"/>
  <c r="AD353" i="3"/>
  <c r="AA353" i="3"/>
  <c r="P353" i="3"/>
  <c r="Q353" i="3" s="1"/>
  <c r="R353" i="3" s="1"/>
  <c r="S353" i="3" s="1"/>
  <c r="Z353" i="3"/>
  <c r="I352" i="3"/>
  <c r="W352" i="3" s="1"/>
  <c r="J352" i="3"/>
  <c r="M352" i="3"/>
  <c r="N352" i="3" s="1"/>
  <c r="T353" i="3" l="1"/>
  <c r="L352" i="3"/>
  <c r="U352" i="3" l="1"/>
  <c r="D353" i="3" s="1"/>
  <c r="AH353" i="3"/>
  <c r="AG353" i="3"/>
  <c r="Y351" i="3"/>
  <c r="E353" i="3" l="1"/>
  <c r="H353" i="3" s="1"/>
  <c r="K353" i="3" s="1"/>
  <c r="AE353" i="3" s="1"/>
  <c r="G353" i="3"/>
  <c r="F353" i="3" l="1"/>
  <c r="I353" i="3"/>
  <c r="J353" i="3"/>
  <c r="M353" i="3"/>
  <c r="N353" i="3" s="1"/>
  <c r="V353" i="3"/>
  <c r="A354" i="3"/>
  <c r="B354" i="3" s="1"/>
  <c r="W353" i="3" l="1"/>
  <c r="L353" i="3"/>
  <c r="P354" i="3"/>
  <c r="Q354" i="3" s="1"/>
  <c r="R354" i="3" s="1"/>
  <c r="S354" i="3" s="1"/>
  <c r="AC354" i="3"/>
  <c r="Z354" i="3"/>
  <c r="AA354" i="3"/>
  <c r="U353" i="3" l="1"/>
  <c r="Y352" i="3"/>
  <c r="T354" i="3"/>
  <c r="AG354" i="3" s="1"/>
  <c r="D354" i="3" l="1"/>
  <c r="AH354" i="3"/>
  <c r="E354" i="3"/>
  <c r="H354" i="3" s="1"/>
  <c r="F354" i="3" l="1"/>
  <c r="G354" i="3"/>
  <c r="K354" i="3"/>
  <c r="AE354" i="3" s="1"/>
  <c r="V354" i="3" l="1"/>
  <c r="A355" i="3"/>
  <c r="B355" i="3" s="1"/>
  <c r="I354" i="3"/>
  <c r="J354" i="3"/>
  <c r="AD354" i="3" s="1"/>
  <c r="M354" i="3"/>
  <c r="N354" i="3" s="1"/>
  <c r="W354" i="3" l="1"/>
  <c r="L354" i="3"/>
  <c r="AA355" i="3"/>
  <c r="AC355" i="3"/>
  <c r="Z355" i="3"/>
  <c r="P355" i="3"/>
  <c r="Q355" i="3" s="1"/>
  <c r="R355" i="3" s="1"/>
  <c r="S355" i="3" s="1"/>
  <c r="T355" i="3" l="1"/>
  <c r="U354" i="3"/>
  <c r="Y353" i="3"/>
  <c r="D355" i="3" l="1"/>
  <c r="G355" i="3" s="1"/>
  <c r="AG355" i="3"/>
  <c r="E355" i="3"/>
  <c r="H355" i="3" s="1"/>
  <c r="K355" i="3" s="1"/>
  <c r="AE355" i="3" s="1"/>
  <c r="AH355" i="3"/>
  <c r="F355" i="3" l="1"/>
  <c r="V355" i="3"/>
  <c r="A356" i="3"/>
  <c r="B356" i="3" s="1"/>
  <c r="I355" i="3"/>
  <c r="J355" i="3"/>
  <c r="AD355" i="3" s="1"/>
  <c r="M355" i="3"/>
  <c r="N355" i="3" s="1"/>
  <c r="W355" i="3" l="1"/>
  <c r="L355" i="3"/>
  <c r="P356" i="3"/>
  <c r="Q356" i="3" s="1"/>
  <c r="R356" i="3" s="1"/>
  <c r="S356" i="3" s="1"/>
  <c r="AA356" i="3"/>
  <c r="Z356" i="3"/>
  <c r="AC356" i="3"/>
  <c r="U355" i="3" l="1"/>
  <c r="Y354" i="3"/>
  <c r="T356" i="3"/>
  <c r="AG356" i="3" s="1"/>
  <c r="AH356" i="3" l="1"/>
  <c r="D356" i="3"/>
  <c r="E356" i="3"/>
  <c r="H356" i="3" s="1"/>
  <c r="K356" i="3" s="1"/>
  <c r="AE356" i="3" s="1"/>
  <c r="F356" i="3" l="1"/>
  <c r="G356" i="3"/>
  <c r="M356" i="3" s="1"/>
  <c r="N356" i="3" s="1"/>
  <c r="V356" i="3"/>
  <c r="A357" i="3"/>
  <c r="B357" i="3" s="1"/>
  <c r="I356" i="3" l="1"/>
  <c r="W356" i="3" s="1"/>
  <c r="J356" i="3"/>
  <c r="Z357" i="3"/>
  <c r="P357" i="3"/>
  <c r="Q357" i="3" s="1"/>
  <c r="R357" i="3" s="1"/>
  <c r="S357" i="3" s="1"/>
  <c r="AC357" i="3"/>
  <c r="AA357" i="3"/>
  <c r="L356" i="3" l="1"/>
  <c r="U356" i="3" s="1"/>
  <c r="AD356" i="3"/>
  <c r="T357" i="3"/>
  <c r="Y355" i="3" l="1"/>
  <c r="AG357" i="3"/>
  <c r="AH357" i="3"/>
  <c r="E357" i="3"/>
  <c r="H357" i="3" s="1"/>
  <c r="D357" i="3"/>
  <c r="F357" i="3" l="1"/>
  <c r="G357" i="3"/>
  <c r="K357" i="3"/>
  <c r="AE357" i="3" s="1"/>
  <c r="V357" i="3" l="1"/>
  <c r="A358" i="3"/>
  <c r="B358" i="3" s="1"/>
  <c r="I357" i="3"/>
  <c r="J357" i="3"/>
  <c r="AD357" i="3" s="1"/>
  <c r="M357" i="3"/>
  <c r="N357" i="3" s="1"/>
  <c r="W357" i="3" l="1"/>
  <c r="L357" i="3"/>
  <c r="P358" i="3"/>
  <c r="Q358" i="3" s="1"/>
  <c r="R358" i="3" s="1"/>
  <c r="S358" i="3" s="1"/>
  <c r="Z358" i="3"/>
  <c r="AA358" i="3"/>
  <c r="AC358" i="3"/>
  <c r="T358" i="3" l="1"/>
  <c r="AH358" i="3" s="1"/>
  <c r="U357" i="3"/>
  <c r="Y356" i="3"/>
  <c r="D358" i="3" l="1"/>
  <c r="G358" i="3" s="1"/>
  <c r="E358" i="3"/>
  <c r="H358" i="3" s="1"/>
  <c r="AG358" i="3"/>
  <c r="I358" i="3" l="1"/>
  <c r="J358" i="3"/>
  <c r="AD358" i="3" s="1"/>
  <c r="M358" i="3"/>
  <c r="N358" i="3" s="1"/>
  <c r="F358" i="3"/>
  <c r="K358" i="3"/>
  <c r="AE358" i="3" s="1"/>
  <c r="V358" i="3" l="1"/>
  <c r="W358" i="3" s="1"/>
  <c r="A359" i="3"/>
  <c r="B359" i="3" s="1"/>
  <c r="L358" i="3"/>
  <c r="U358" i="3" l="1"/>
  <c r="Y357" i="3"/>
  <c r="P359" i="3"/>
  <c r="Q359" i="3" s="1"/>
  <c r="R359" i="3" s="1"/>
  <c r="S359" i="3" s="1"/>
  <c r="AC359" i="3"/>
  <c r="AA359" i="3"/>
  <c r="Z359" i="3"/>
  <c r="T359" i="3" l="1"/>
  <c r="AG359" i="3" s="1"/>
  <c r="AH359" i="3" l="1"/>
  <c r="E359" i="3"/>
  <c r="H359" i="3" s="1"/>
  <c r="D359" i="3"/>
  <c r="K359" i="3" l="1"/>
  <c r="AE359" i="3" s="1"/>
  <c r="F359" i="3"/>
  <c r="G359" i="3"/>
  <c r="I359" i="3" l="1"/>
  <c r="J359" i="3"/>
  <c r="AD359" i="3" s="1"/>
  <c r="M359" i="3"/>
  <c r="N359" i="3" s="1"/>
  <c r="V359" i="3"/>
  <c r="A360" i="3"/>
  <c r="B360" i="3" s="1"/>
  <c r="W359" i="3" l="1"/>
  <c r="L359" i="3"/>
  <c r="AC360" i="3"/>
  <c r="AA360" i="3"/>
  <c r="P360" i="3"/>
  <c r="Q360" i="3" s="1"/>
  <c r="R360" i="3" s="1"/>
  <c r="S360" i="3" s="1"/>
  <c r="Z360" i="3"/>
  <c r="T360" i="3" l="1"/>
  <c r="AH360" i="3" s="1"/>
  <c r="U359" i="3"/>
  <c r="Y358" i="3"/>
  <c r="E360" i="3" l="1"/>
  <c r="H360" i="3" s="1"/>
  <c r="K360" i="3" s="1"/>
  <c r="AE360" i="3" s="1"/>
  <c r="AG360" i="3"/>
  <c r="D360" i="3"/>
  <c r="F360" i="3" l="1"/>
  <c r="G360" i="3"/>
  <c r="V360" i="3"/>
  <c r="A361" i="3"/>
  <c r="B361" i="3" s="1"/>
  <c r="Z361" i="3" l="1"/>
  <c r="P361" i="3"/>
  <c r="Q361" i="3" s="1"/>
  <c r="R361" i="3" s="1"/>
  <c r="S361" i="3" s="1"/>
  <c r="AC361" i="3"/>
  <c r="AA361" i="3"/>
  <c r="I360" i="3"/>
  <c r="W360" i="3" s="1"/>
  <c r="J360" i="3"/>
  <c r="AD360" i="3" s="1"/>
  <c r="M360" i="3"/>
  <c r="N360" i="3" s="1"/>
  <c r="T361" i="3" l="1"/>
  <c r="L360" i="3"/>
  <c r="AG361" i="3" l="1"/>
  <c r="AH361" i="3"/>
  <c r="U360" i="3"/>
  <c r="E361" i="3" s="1"/>
  <c r="H361" i="3" s="1"/>
  <c r="Y359" i="3"/>
  <c r="D361" i="3" l="1"/>
  <c r="G361" i="3" s="1"/>
  <c r="K361" i="3"/>
  <c r="AE361" i="3" s="1"/>
  <c r="F361" i="3" l="1"/>
  <c r="I361" i="3"/>
  <c r="J361" i="3"/>
  <c r="AD361" i="3" s="1"/>
  <c r="M361" i="3"/>
  <c r="N361" i="3" s="1"/>
  <c r="V361" i="3"/>
  <c r="A362" i="3"/>
  <c r="B362" i="3" s="1"/>
  <c r="W361" i="3" l="1"/>
  <c r="L361" i="3"/>
  <c r="AC362" i="3"/>
  <c r="Z362" i="3"/>
  <c r="P362" i="3"/>
  <c r="Q362" i="3" s="1"/>
  <c r="R362" i="3" s="1"/>
  <c r="S362" i="3" s="1"/>
  <c r="AA362" i="3"/>
  <c r="U361" i="3" l="1"/>
  <c r="Y360" i="3"/>
  <c r="T362" i="3"/>
  <c r="AH362" i="3" s="1"/>
  <c r="D362" i="3" l="1"/>
  <c r="G362" i="3" s="1"/>
  <c r="E362" i="3"/>
  <c r="H362" i="3" s="1"/>
  <c r="K362" i="3" s="1"/>
  <c r="AE362" i="3" s="1"/>
  <c r="AG362" i="3"/>
  <c r="F362" i="3" l="1"/>
  <c r="I362" i="3"/>
  <c r="J362" i="3"/>
  <c r="AD362" i="3" s="1"/>
  <c r="M362" i="3"/>
  <c r="N362" i="3" s="1"/>
  <c r="V362" i="3"/>
  <c r="A363" i="3"/>
  <c r="B363" i="3" s="1"/>
  <c r="W362" i="3" l="1"/>
  <c r="L362" i="3"/>
  <c r="P363" i="3"/>
  <c r="Q363" i="3" s="1"/>
  <c r="R363" i="3" s="1"/>
  <c r="S363" i="3" s="1"/>
  <c r="AA363" i="3"/>
  <c r="Z363" i="3"/>
  <c r="AC363" i="3"/>
  <c r="T363" i="3" l="1"/>
  <c r="U362" i="3"/>
  <c r="Y361" i="3"/>
  <c r="E363" i="3" l="1"/>
  <c r="H363" i="3" s="1"/>
  <c r="K363" i="3" s="1"/>
  <c r="AE363" i="3" s="1"/>
  <c r="AH363" i="3"/>
  <c r="D363" i="3"/>
  <c r="AG363" i="3"/>
  <c r="F363" i="3" l="1"/>
  <c r="G363" i="3"/>
  <c r="M363" i="3" s="1"/>
  <c r="N363" i="3" s="1"/>
  <c r="V363" i="3"/>
  <c r="A364" i="3"/>
  <c r="B364" i="3" s="1"/>
  <c r="I363" i="3" l="1"/>
  <c r="W363" i="3" s="1"/>
  <c r="J363" i="3"/>
  <c r="P364" i="3"/>
  <c r="Q364" i="3" s="1"/>
  <c r="R364" i="3" s="1"/>
  <c r="S364" i="3" s="1"/>
  <c r="Z364" i="3"/>
  <c r="AC364" i="3"/>
  <c r="AA364" i="3"/>
  <c r="L363" i="3" l="1"/>
  <c r="U363" i="3" s="1"/>
  <c r="AD363" i="3"/>
  <c r="T364" i="3"/>
  <c r="Y362" i="3" l="1"/>
  <c r="D364" i="3"/>
  <c r="G364" i="3" s="1"/>
  <c r="E364" i="3"/>
  <c r="H364" i="3" s="1"/>
  <c r="K364" i="3" s="1"/>
  <c r="AE364" i="3" s="1"/>
  <c r="AG364" i="3"/>
  <c r="AH364" i="3"/>
  <c r="F364" i="3" l="1"/>
  <c r="V364" i="3"/>
  <c r="A365" i="3"/>
  <c r="B365" i="3" s="1"/>
  <c r="I364" i="3"/>
  <c r="J364" i="3"/>
  <c r="AD364" i="3" s="1"/>
  <c r="M364" i="3"/>
  <c r="N364" i="3" s="1"/>
  <c r="W364" i="3" l="1"/>
  <c r="L364" i="3"/>
  <c r="AC365" i="3"/>
  <c r="P365" i="3"/>
  <c r="Q365" i="3" s="1"/>
  <c r="R365" i="3" s="1"/>
  <c r="S365" i="3" s="1"/>
  <c r="AA365" i="3"/>
  <c r="Z365" i="3"/>
  <c r="U364" i="3" l="1"/>
  <c r="Y363" i="3"/>
  <c r="T365" i="3"/>
  <c r="AH365" i="3" s="1"/>
  <c r="D365" i="3" l="1"/>
  <c r="G365" i="3" s="1"/>
  <c r="AG365" i="3"/>
  <c r="E365" i="3"/>
  <c r="H365" i="3" s="1"/>
  <c r="K365" i="3" s="1"/>
  <c r="AE365" i="3" s="1"/>
  <c r="F365" i="3" l="1"/>
  <c r="I365" i="3"/>
  <c r="J365" i="3"/>
  <c r="AD365" i="3" s="1"/>
  <c r="M365" i="3"/>
  <c r="N365" i="3" s="1"/>
  <c r="V365" i="3"/>
  <c r="A366" i="3"/>
  <c r="B366" i="3" s="1"/>
  <c r="W365" i="3" l="1"/>
  <c r="L365" i="3"/>
  <c r="AC366" i="3"/>
  <c r="P366" i="3"/>
  <c r="Q366" i="3" s="1"/>
  <c r="R366" i="3" s="1"/>
  <c r="S366" i="3" s="1"/>
  <c r="AA366" i="3"/>
  <c r="Z366" i="3"/>
  <c r="U365" i="3" l="1"/>
  <c r="Y364" i="3"/>
  <c r="T366" i="3"/>
  <c r="E366" i="3" l="1"/>
  <c r="H366" i="3" s="1"/>
  <c r="K366" i="3" s="1"/>
  <c r="AE366" i="3" s="1"/>
  <c r="AH366" i="3"/>
  <c r="D366" i="3"/>
  <c r="G366" i="3" s="1"/>
  <c r="AG366" i="3"/>
  <c r="F366" i="3" l="1"/>
  <c r="V366" i="3"/>
  <c r="A367" i="3"/>
  <c r="B367" i="3" s="1"/>
  <c r="I366" i="3"/>
  <c r="J366" i="3"/>
  <c r="AD366" i="3" s="1"/>
  <c r="M366" i="3"/>
  <c r="N366" i="3" s="1"/>
  <c r="W366" i="3" l="1"/>
  <c r="L366" i="3"/>
  <c r="Z367" i="3"/>
  <c r="P367" i="3"/>
  <c r="Q367" i="3" s="1"/>
  <c r="R367" i="3" s="1"/>
  <c r="S367" i="3" s="1"/>
  <c r="AC367" i="3"/>
  <c r="AA367" i="3"/>
  <c r="T367" i="3" l="1"/>
  <c r="AG367" i="3" s="1"/>
  <c r="U366" i="3"/>
  <c r="Y365" i="3"/>
  <c r="D367" i="3" l="1"/>
  <c r="AH367" i="3"/>
  <c r="E367" i="3"/>
  <c r="H367" i="3" s="1"/>
  <c r="F367" i="3" l="1"/>
  <c r="G367" i="3"/>
  <c r="K367" i="3"/>
  <c r="AE367" i="3" s="1"/>
  <c r="I367" i="3" l="1"/>
  <c r="J367" i="3"/>
  <c r="AD367" i="3" s="1"/>
  <c r="M367" i="3"/>
  <c r="N367" i="3" s="1"/>
  <c r="V367" i="3"/>
  <c r="A368" i="3"/>
  <c r="B368" i="3" s="1"/>
  <c r="L367" i="3" l="1"/>
  <c r="W367" i="3"/>
  <c r="Z368" i="3"/>
  <c r="P368" i="3"/>
  <c r="Q368" i="3" s="1"/>
  <c r="R368" i="3" s="1"/>
  <c r="S368" i="3" s="1"/>
  <c r="AC368" i="3"/>
  <c r="AA368" i="3"/>
  <c r="T368" i="3" l="1"/>
  <c r="AH368" i="3" s="1"/>
  <c r="U367" i="3"/>
  <c r="Y366" i="3"/>
  <c r="E368" i="3" l="1"/>
  <c r="H368" i="3" s="1"/>
  <c r="K368" i="3" s="1"/>
  <c r="AE368" i="3" s="1"/>
  <c r="D368" i="3"/>
  <c r="AG368" i="3"/>
  <c r="V368" i="3" l="1"/>
  <c r="A369" i="3"/>
  <c r="B369" i="3" s="1"/>
  <c r="F368" i="3"/>
  <c r="G368" i="3"/>
  <c r="I368" i="3" l="1"/>
  <c r="W368" i="3" s="1"/>
  <c r="J368" i="3"/>
  <c r="AD368" i="3" s="1"/>
  <c r="M368" i="3"/>
  <c r="N368" i="3" s="1"/>
  <c r="Z369" i="3"/>
  <c r="AC369" i="3"/>
  <c r="P369" i="3"/>
  <c r="Q369" i="3" s="1"/>
  <c r="R369" i="3" s="1"/>
  <c r="S369" i="3" s="1"/>
  <c r="AA369" i="3"/>
  <c r="T369" i="3" l="1"/>
  <c r="L368" i="3"/>
  <c r="AH369" i="3" l="1"/>
  <c r="AG369" i="3"/>
  <c r="U368" i="3"/>
  <c r="E369" i="3" s="1"/>
  <c r="H369" i="3" s="1"/>
  <c r="Y367" i="3"/>
  <c r="D369" i="3" l="1"/>
  <c r="F369" i="3" s="1"/>
  <c r="K369" i="3"/>
  <c r="AE369" i="3" s="1"/>
  <c r="G369" i="3" l="1"/>
  <c r="M369" i="3" s="1"/>
  <c r="N369" i="3" s="1"/>
  <c r="V369" i="3"/>
  <c r="A370" i="3"/>
  <c r="B370" i="3" s="1"/>
  <c r="J369" i="3" l="1"/>
  <c r="I369" i="3"/>
  <c r="W369" i="3" s="1"/>
  <c r="AA370" i="3"/>
  <c r="P370" i="3"/>
  <c r="Q370" i="3" s="1"/>
  <c r="R370" i="3" s="1"/>
  <c r="S370" i="3" s="1"/>
  <c r="AC370" i="3"/>
  <c r="Z370" i="3"/>
  <c r="L369" i="3" l="1"/>
  <c r="U369" i="3" s="1"/>
  <c r="AD369" i="3"/>
  <c r="T370" i="3"/>
  <c r="AG370" i="3" l="1"/>
  <c r="Y368" i="3"/>
  <c r="E370" i="3"/>
  <c r="H370" i="3" s="1"/>
  <c r="K370" i="3" s="1"/>
  <c r="AE370" i="3" s="1"/>
  <c r="AH370" i="3"/>
  <c r="D370" i="3"/>
  <c r="F370" i="3" l="1"/>
  <c r="G370" i="3"/>
  <c r="M370" i="3" s="1"/>
  <c r="N370" i="3" s="1"/>
  <c r="V370" i="3"/>
  <c r="A371" i="3"/>
  <c r="B371" i="3" s="1"/>
  <c r="I370" i="3" l="1"/>
  <c r="W370" i="3" s="1"/>
  <c r="J370" i="3"/>
  <c r="AC371" i="3"/>
  <c r="P371" i="3"/>
  <c r="Q371" i="3" s="1"/>
  <c r="R371" i="3" s="1"/>
  <c r="S371" i="3" s="1"/>
  <c r="AA371" i="3"/>
  <c r="Z371" i="3"/>
  <c r="L370" i="3" l="1"/>
  <c r="U370" i="3" s="1"/>
  <c r="AD370" i="3"/>
  <c r="T371" i="3"/>
  <c r="Y369" i="3" l="1"/>
  <c r="AG371" i="3"/>
  <c r="E371" i="3"/>
  <c r="H371" i="3" s="1"/>
  <c r="K371" i="3" s="1"/>
  <c r="AE371" i="3" s="1"/>
  <c r="D371" i="3"/>
  <c r="AH371" i="3"/>
  <c r="V371" i="3" l="1"/>
  <c r="A372" i="3"/>
  <c r="B372" i="3" s="1"/>
  <c r="F371" i="3"/>
  <c r="G371" i="3"/>
  <c r="I371" i="3" l="1"/>
  <c r="W371" i="3" s="1"/>
  <c r="J371" i="3"/>
  <c r="AD371" i="3" s="1"/>
  <c r="M371" i="3"/>
  <c r="N371" i="3" s="1"/>
  <c r="P372" i="3"/>
  <c r="Q372" i="3" s="1"/>
  <c r="R372" i="3" s="1"/>
  <c r="S372" i="3" s="1"/>
  <c r="AA372" i="3"/>
  <c r="AC372" i="3"/>
  <c r="Z372" i="3"/>
  <c r="L371" i="3" l="1"/>
  <c r="T372" i="3"/>
  <c r="U371" i="3" l="1"/>
  <c r="E372" i="3" s="1"/>
  <c r="H372" i="3" s="1"/>
  <c r="AG372" i="3"/>
  <c r="AH372" i="3"/>
  <c r="Y370" i="3"/>
  <c r="D372" i="3" l="1"/>
  <c r="F372" i="3" s="1"/>
  <c r="K372" i="3"/>
  <c r="AE372" i="3" s="1"/>
  <c r="G372" i="3" l="1"/>
  <c r="M372" i="3" s="1"/>
  <c r="N372" i="3" s="1"/>
  <c r="V372" i="3"/>
  <c r="A373" i="3"/>
  <c r="B373" i="3" s="1"/>
  <c r="J372" i="3" l="1"/>
  <c r="I372" i="3"/>
  <c r="W372" i="3" s="1"/>
  <c r="Z373" i="3"/>
  <c r="AC373" i="3"/>
  <c r="P373" i="3"/>
  <c r="Q373" i="3" s="1"/>
  <c r="R373" i="3" s="1"/>
  <c r="S373" i="3" s="1"/>
  <c r="AA373" i="3"/>
  <c r="L372" i="3" l="1"/>
  <c r="U372" i="3" s="1"/>
  <c r="AD372" i="3"/>
  <c r="T373" i="3"/>
  <c r="AH373" i="3" l="1"/>
  <c r="Y371" i="3"/>
  <c r="D373" i="3"/>
  <c r="G373" i="3" s="1"/>
  <c r="E373" i="3"/>
  <c r="H373" i="3" s="1"/>
  <c r="AG373" i="3"/>
  <c r="F373" i="3" l="1"/>
  <c r="I373" i="3"/>
  <c r="J373" i="3"/>
  <c r="AD373" i="3" s="1"/>
  <c r="M373" i="3"/>
  <c r="N373" i="3" s="1"/>
  <c r="K373" i="3"/>
  <c r="AE373" i="3" s="1"/>
  <c r="V373" i="3" l="1"/>
  <c r="W373" i="3" s="1"/>
  <c r="A374" i="3"/>
  <c r="B374" i="3" s="1"/>
  <c r="L373" i="3"/>
  <c r="U373" i="3" l="1"/>
  <c r="Y372" i="3"/>
  <c r="AA374" i="3"/>
  <c r="AC374" i="3"/>
  <c r="Z374" i="3"/>
  <c r="P374" i="3"/>
  <c r="Q374" i="3" s="1"/>
  <c r="R374" i="3" s="1"/>
  <c r="S374" i="3" s="1"/>
  <c r="T374" i="3" l="1"/>
  <c r="AH374" i="3" s="1"/>
  <c r="AG374" i="3" l="1"/>
  <c r="E374" i="3"/>
  <c r="H374" i="3" s="1"/>
  <c r="K374" i="3" s="1"/>
  <c r="AE374" i="3" s="1"/>
  <c r="D374" i="3"/>
  <c r="F374" i="3" l="1"/>
  <c r="G374" i="3"/>
  <c r="I374" i="3" s="1"/>
  <c r="V374" i="3"/>
  <c r="A375" i="3"/>
  <c r="B375" i="3" s="1"/>
  <c r="J374" i="3" l="1"/>
  <c r="M374" i="3"/>
  <c r="N374" i="3" s="1"/>
  <c r="W374" i="3"/>
  <c r="P375" i="3"/>
  <c r="Q375" i="3" s="1"/>
  <c r="R375" i="3" s="1"/>
  <c r="S375" i="3" s="1"/>
  <c r="Z375" i="3"/>
  <c r="AC375" i="3"/>
  <c r="AA375" i="3"/>
  <c r="L374" i="3" l="1"/>
  <c r="Y373" i="3" s="1"/>
  <c r="AD374" i="3"/>
  <c r="T375" i="3"/>
  <c r="U374" i="3" l="1"/>
  <c r="E375" i="3" s="1"/>
  <c r="H375" i="3" s="1"/>
  <c r="K375" i="3" s="1"/>
  <c r="AE375" i="3" s="1"/>
  <c r="AG375" i="3"/>
  <c r="AH375" i="3"/>
  <c r="D375" i="3" l="1"/>
  <c r="G375" i="3" s="1"/>
  <c r="I375" i="3" s="1"/>
  <c r="V375" i="3"/>
  <c r="A376" i="3"/>
  <c r="B376" i="3" s="1"/>
  <c r="M375" i="3" l="1"/>
  <c r="N375" i="3" s="1"/>
  <c r="F375" i="3"/>
  <c r="J375" i="3"/>
  <c r="W375" i="3"/>
  <c r="AA376" i="3"/>
  <c r="P376" i="3"/>
  <c r="Q376" i="3" s="1"/>
  <c r="R376" i="3" s="1"/>
  <c r="S376" i="3" s="1"/>
  <c r="AC376" i="3"/>
  <c r="Z376" i="3"/>
  <c r="L375" i="3" l="1"/>
  <c r="U375" i="3" s="1"/>
  <c r="AD375" i="3"/>
  <c r="T376" i="3"/>
  <c r="Y374" i="3" l="1"/>
  <c r="D376" i="3"/>
  <c r="G376" i="3" s="1"/>
  <c r="AG376" i="3"/>
  <c r="AH376" i="3"/>
  <c r="E376" i="3"/>
  <c r="H376" i="3" s="1"/>
  <c r="F376" i="3" l="1"/>
  <c r="I376" i="3"/>
  <c r="J376" i="3"/>
  <c r="AD376" i="3" s="1"/>
  <c r="M376" i="3"/>
  <c r="N376" i="3" s="1"/>
  <c r="K376" i="3"/>
  <c r="AE376" i="3" s="1"/>
  <c r="V376" i="3" l="1"/>
  <c r="W376" i="3" s="1"/>
  <c r="A377" i="3"/>
  <c r="B377" i="3" s="1"/>
  <c r="L376" i="3"/>
  <c r="AC377" i="3" l="1"/>
  <c r="AA377" i="3"/>
  <c r="P377" i="3"/>
  <c r="Q377" i="3" s="1"/>
  <c r="R377" i="3" s="1"/>
  <c r="S377" i="3" s="1"/>
  <c r="Z377" i="3"/>
  <c r="U376" i="3"/>
  <c r="Y375" i="3"/>
  <c r="T377" i="3" l="1"/>
  <c r="AH377" i="3" s="1"/>
  <c r="E377" i="3" l="1"/>
  <c r="H377" i="3" s="1"/>
  <c r="K377" i="3" s="1"/>
  <c r="AE377" i="3" s="1"/>
  <c r="D377" i="3"/>
  <c r="AG377" i="3"/>
  <c r="F377" i="3" l="1"/>
  <c r="G377" i="3"/>
  <c r="M377" i="3" s="1"/>
  <c r="N377" i="3" s="1"/>
  <c r="V377" i="3"/>
  <c r="A378" i="3"/>
  <c r="B378" i="3" s="1"/>
  <c r="I377" i="3" l="1"/>
  <c r="W377" i="3" s="1"/>
  <c r="J377" i="3"/>
  <c r="Z378" i="3"/>
  <c r="AC378" i="3"/>
  <c r="P378" i="3"/>
  <c r="Q378" i="3" s="1"/>
  <c r="R378" i="3" s="1"/>
  <c r="S378" i="3" s="1"/>
  <c r="AA378" i="3"/>
  <c r="L377" i="3" l="1"/>
  <c r="U377" i="3" s="1"/>
  <c r="AD377" i="3"/>
  <c r="T378" i="3"/>
  <c r="Y376" i="3" l="1"/>
  <c r="D378" i="3"/>
  <c r="G378" i="3" s="1"/>
  <c r="AG378" i="3"/>
  <c r="E378" i="3"/>
  <c r="H378" i="3" s="1"/>
  <c r="K378" i="3" s="1"/>
  <c r="AE378" i="3" s="1"/>
  <c r="AH378" i="3"/>
  <c r="F378" i="3" l="1"/>
  <c r="V378" i="3"/>
  <c r="A379" i="3"/>
  <c r="B379" i="3" s="1"/>
  <c r="I378" i="3"/>
  <c r="J378" i="3"/>
  <c r="AD378" i="3" s="1"/>
  <c r="M378" i="3"/>
  <c r="N378" i="3" s="1"/>
  <c r="W378" i="3" l="1"/>
  <c r="L378" i="3"/>
  <c r="Z379" i="3"/>
  <c r="AA379" i="3"/>
  <c r="P379" i="3"/>
  <c r="Q379" i="3" s="1"/>
  <c r="R379" i="3" s="1"/>
  <c r="S379" i="3" s="1"/>
  <c r="AC379" i="3"/>
  <c r="U378" i="3" l="1"/>
  <c r="Y377" i="3"/>
  <c r="T379" i="3"/>
  <c r="AH379" i="3" s="1"/>
  <c r="E379" i="3" l="1"/>
  <c r="H379" i="3" s="1"/>
  <c r="K379" i="3" s="1"/>
  <c r="AE379" i="3" s="1"/>
  <c r="D379" i="3"/>
  <c r="G379" i="3" s="1"/>
  <c r="AG379" i="3"/>
  <c r="F379" i="3" l="1"/>
  <c r="I379" i="3"/>
  <c r="J379" i="3"/>
  <c r="AD379" i="3" s="1"/>
  <c r="M379" i="3"/>
  <c r="N379" i="3" s="1"/>
  <c r="V379" i="3"/>
  <c r="A380" i="3"/>
  <c r="B380" i="3" s="1"/>
  <c r="W379" i="3" l="1"/>
  <c r="L379" i="3"/>
  <c r="Z380" i="3"/>
  <c r="P380" i="3"/>
  <c r="Q380" i="3" s="1"/>
  <c r="R380" i="3" s="1"/>
  <c r="S380" i="3" s="1"/>
  <c r="AC380" i="3"/>
  <c r="AA380" i="3"/>
  <c r="T380" i="3" l="1"/>
  <c r="AH380" i="3" s="1"/>
  <c r="U379" i="3"/>
  <c r="Y378" i="3"/>
  <c r="AG380" i="3" l="1"/>
  <c r="E380" i="3"/>
  <c r="H380" i="3" s="1"/>
  <c r="K380" i="3" s="1"/>
  <c r="AE380" i="3" s="1"/>
  <c r="D380" i="3"/>
  <c r="V380" i="3" l="1"/>
  <c r="A381" i="3"/>
  <c r="B381" i="3" s="1"/>
  <c r="F380" i="3"/>
  <c r="G380" i="3"/>
  <c r="I380" i="3" l="1"/>
  <c r="W380" i="3" s="1"/>
  <c r="J380" i="3"/>
  <c r="AD380" i="3" s="1"/>
  <c r="M380" i="3"/>
  <c r="N380" i="3" s="1"/>
  <c r="Z381" i="3"/>
  <c r="AA381" i="3"/>
  <c r="AC381" i="3"/>
  <c r="P381" i="3"/>
  <c r="Q381" i="3" s="1"/>
  <c r="R381" i="3" s="1"/>
  <c r="S381" i="3" s="1"/>
  <c r="T381" i="3" l="1"/>
  <c r="L380" i="3"/>
  <c r="U380" i="3" l="1"/>
  <c r="E381" i="3" s="1"/>
  <c r="H381" i="3" s="1"/>
  <c r="AH381" i="3"/>
  <c r="AG381" i="3"/>
  <c r="Y379" i="3"/>
  <c r="K381" i="3" l="1"/>
  <c r="AE381" i="3" s="1"/>
  <c r="D381" i="3"/>
  <c r="V381" i="3" l="1"/>
  <c r="A382" i="3"/>
  <c r="B382" i="3" s="1"/>
  <c r="F381" i="3"/>
  <c r="G381" i="3"/>
  <c r="I381" i="3" l="1"/>
  <c r="W381" i="3" s="1"/>
  <c r="J381" i="3"/>
  <c r="AD381" i="3" s="1"/>
  <c r="M381" i="3"/>
  <c r="N381" i="3" s="1"/>
  <c r="AA382" i="3"/>
  <c r="Z382" i="3"/>
  <c r="P382" i="3"/>
  <c r="Q382" i="3" s="1"/>
  <c r="R382" i="3" s="1"/>
  <c r="S382" i="3" s="1"/>
  <c r="AC382" i="3"/>
  <c r="L381" i="3" l="1"/>
  <c r="T382" i="3"/>
  <c r="U381" i="3" l="1"/>
  <c r="E382" i="3" s="1"/>
  <c r="H382" i="3" s="1"/>
  <c r="AH382" i="3"/>
  <c r="AG382" i="3"/>
  <c r="Y380" i="3"/>
  <c r="D382" i="3" l="1"/>
  <c r="G382" i="3" s="1"/>
  <c r="K382" i="3"/>
  <c r="AE382" i="3" s="1"/>
  <c r="F382" i="3" l="1"/>
  <c r="I382" i="3"/>
  <c r="J382" i="3"/>
  <c r="AD382" i="3" s="1"/>
  <c r="M382" i="3"/>
  <c r="N382" i="3" s="1"/>
  <c r="V382" i="3"/>
  <c r="A383" i="3"/>
  <c r="B383" i="3" s="1"/>
  <c r="W382" i="3" l="1"/>
  <c r="L382" i="3"/>
  <c r="AA383" i="3"/>
  <c r="P383" i="3"/>
  <c r="Q383" i="3" s="1"/>
  <c r="R383" i="3" s="1"/>
  <c r="S383" i="3" s="1"/>
  <c r="Z383" i="3"/>
  <c r="AC383" i="3"/>
  <c r="U382" i="3" l="1"/>
  <c r="Y381" i="3"/>
  <c r="T383" i="3"/>
  <c r="E383" i="3" l="1"/>
  <c r="H383" i="3" s="1"/>
  <c r="K383" i="3" s="1"/>
  <c r="AE383" i="3" s="1"/>
  <c r="D383" i="3"/>
  <c r="AH383" i="3"/>
  <c r="AG383" i="3"/>
  <c r="V383" i="3" l="1"/>
  <c r="A384" i="3"/>
  <c r="B384" i="3" s="1"/>
  <c r="F383" i="3"/>
  <c r="G383" i="3"/>
  <c r="I383" i="3" l="1"/>
  <c r="W383" i="3" s="1"/>
  <c r="J383" i="3"/>
  <c r="AD383" i="3" s="1"/>
  <c r="M383" i="3"/>
  <c r="N383" i="3" s="1"/>
  <c r="P384" i="3"/>
  <c r="Q384" i="3" s="1"/>
  <c r="R384" i="3" s="1"/>
  <c r="S384" i="3" s="1"/>
  <c r="Z384" i="3"/>
  <c r="AC384" i="3"/>
  <c r="AA384" i="3"/>
  <c r="T384" i="3" l="1"/>
  <c r="L383" i="3"/>
  <c r="AG384" i="3" l="1"/>
  <c r="AH384" i="3"/>
  <c r="U383" i="3"/>
  <c r="D384" i="3" s="1"/>
  <c r="Y382" i="3"/>
  <c r="E384" i="3" l="1"/>
  <c r="H384" i="3" s="1"/>
  <c r="K384" i="3" s="1"/>
  <c r="AE384" i="3" s="1"/>
  <c r="G384" i="3"/>
  <c r="F384" i="3" l="1"/>
  <c r="I384" i="3"/>
  <c r="J384" i="3"/>
  <c r="AD384" i="3" s="1"/>
  <c r="M384" i="3"/>
  <c r="N384" i="3" s="1"/>
  <c r="V384" i="3"/>
  <c r="A385" i="3"/>
  <c r="B385" i="3" s="1"/>
  <c r="W384" i="3" l="1"/>
  <c r="L384" i="3"/>
  <c r="P385" i="3"/>
  <c r="Q385" i="3" s="1"/>
  <c r="R385" i="3" s="1"/>
  <c r="S385" i="3" s="1"/>
  <c r="AD385" i="3"/>
  <c r="Z385" i="3"/>
  <c r="AC385" i="3"/>
  <c r="AA385" i="3"/>
  <c r="U384" i="3" l="1"/>
  <c r="Y383" i="3"/>
  <c r="T385" i="3"/>
  <c r="AG385" i="3" s="1"/>
  <c r="D385" i="3" l="1"/>
  <c r="G385" i="3" s="1"/>
  <c r="E385" i="3"/>
  <c r="H385" i="3" s="1"/>
  <c r="K385" i="3" s="1"/>
  <c r="AE385" i="3" s="1"/>
  <c r="AH385" i="3"/>
  <c r="F385" i="3" l="1"/>
  <c r="V385" i="3"/>
  <c r="A386" i="3"/>
  <c r="B386" i="3" s="1"/>
  <c r="I385" i="3"/>
  <c r="J385" i="3"/>
  <c r="M385" i="3"/>
  <c r="N385" i="3" s="1"/>
  <c r="L385" i="3" l="1"/>
  <c r="W385" i="3"/>
  <c r="AC386" i="3"/>
  <c r="P386" i="3"/>
  <c r="Q386" i="3" s="1"/>
  <c r="R386" i="3" s="1"/>
  <c r="S386" i="3" s="1"/>
  <c r="AA386" i="3"/>
  <c r="AD386" i="3"/>
  <c r="Z386" i="3"/>
  <c r="T386" i="3" l="1"/>
  <c r="AH386" i="3" s="1"/>
  <c r="U385" i="3"/>
  <c r="Y384" i="3"/>
  <c r="D386" i="3" l="1"/>
  <c r="E386" i="3"/>
  <c r="H386" i="3" s="1"/>
  <c r="AG386" i="3"/>
  <c r="F386" i="3" l="1"/>
  <c r="G386" i="3"/>
  <c r="K386" i="3"/>
  <c r="AE386" i="3" s="1"/>
  <c r="I386" i="3" l="1"/>
  <c r="J386" i="3"/>
  <c r="M386" i="3"/>
  <c r="N386" i="3" s="1"/>
  <c r="V386" i="3"/>
  <c r="A387" i="3"/>
  <c r="B387" i="3" s="1"/>
  <c r="W386" i="3" l="1"/>
  <c r="L386" i="3"/>
  <c r="AA387" i="3"/>
  <c r="P387" i="3"/>
  <c r="Q387" i="3" s="1"/>
  <c r="R387" i="3" s="1"/>
  <c r="S387" i="3" s="1"/>
  <c r="AC387" i="3"/>
  <c r="Z387" i="3"/>
  <c r="U386" i="3" l="1"/>
  <c r="Y385" i="3"/>
  <c r="T387" i="3"/>
  <c r="AG387" i="3" s="1"/>
  <c r="AH387" i="3" l="1"/>
  <c r="D387" i="3"/>
  <c r="G387" i="3" s="1"/>
  <c r="E387" i="3"/>
  <c r="H387" i="3" s="1"/>
  <c r="F387" i="3" l="1"/>
  <c r="I387" i="3"/>
  <c r="J387" i="3"/>
  <c r="AD387" i="3" s="1"/>
  <c r="M387" i="3"/>
  <c r="N387" i="3" s="1"/>
  <c r="K387" i="3"/>
  <c r="AE387" i="3" s="1"/>
  <c r="V387" i="3" l="1"/>
  <c r="W387" i="3" s="1"/>
  <c r="A388" i="3"/>
  <c r="B388" i="3" s="1"/>
  <c r="L387" i="3"/>
  <c r="U387" i="3" l="1"/>
  <c r="Y386" i="3"/>
  <c r="AA388" i="3"/>
  <c r="Z388" i="3"/>
  <c r="P388" i="3"/>
  <c r="Q388" i="3" s="1"/>
  <c r="R388" i="3" s="1"/>
  <c r="S388" i="3" s="1"/>
  <c r="AD388" i="3"/>
  <c r="AC388" i="3"/>
  <c r="T388" i="3" l="1"/>
  <c r="E388" i="3" s="1"/>
  <c r="H388" i="3" s="1"/>
  <c r="K388" i="3" l="1"/>
  <c r="AE388" i="3" s="1"/>
  <c r="D388" i="3"/>
  <c r="AG388" i="3"/>
  <c r="AH388" i="3"/>
  <c r="V388" i="3" l="1"/>
  <c r="A389" i="3"/>
  <c r="B389" i="3" s="1"/>
  <c r="F388" i="3"/>
  <c r="G388" i="3"/>
  <c r="I388" i="3" l="1"/>
  <c r="W388" i="3" s="1"/>
  <c r="J388" i="3"/>
  <c r="M388" i="3"/>
  <c r="N388" i="3" s="1"/>
  <c r="P389" i="3"/>
  <c r="Q389" i="3" s="1"/>
  <c r="R389" i="3" s="1"/>
  <c r="S389" i="3" s="1"/>
  <c r="AA389" i="3"/>
  <c r="AD389" i="3"/>
  <c r="AC389" i="3"/>
  <c r="Z389" i="3"/>
  <c r="T389" i="3" l="1"/>
  <c r="L388" i="3"/>
  <c r="U388" i="3" l="1"/>
  <c r="E389" i="3" s="1"/>
  <c r="H389" i="3" s="1"/>
  <c r="AH389" i="3"/>
  <c r="AG389" i="3"/>
  <c r="Y387" i="3"/>
  <c r="D389" i="3" l="1"/>
  <c r="G389" i="3" s="1"/>
  <c r="K389" i="3"/>
  <c r="AE389" i="3" s="1"/>
  <c r="F389" i="3" l="1"/>
  <c r="V389" i="3"/>
  <c r="A390" i="3"/>
  <c r="B390" i="3" s="1"/>
  <c r="I389" i="3"/>
  <c r="J389" i="3"/>
  <c r="M389" i="3"/>
  <c r="N389" i="3" s="1"/>
  <c r="W389" i="3" l="1"/>
  <c r="L389" i="3"/>
  <c r="P390" i="3"/>
  <c r="Q390" i="3" s="1"/>
  <c r="R390" i="3" s="1"/>
  <c r="S390" i="3" s="1"/>
  <c r="AC390" i="3"/>
  <c r="AA390" i="3"/>
  <c r="Z390" i="3"/>
  <c r="AD390" i="3"/>
  <c r="U389" i="3" l="1"/>
  <c r="Y388" i="3"/>
  <c r="T390" i="3"/>
  <c r="AG390" i="3" s="1"/>
  <c r="D390" i="3" l="1"/>
  <c r="AH390" i="3"/>
  <c r="E390" i="3"/>
  <c r="H390" i="3" s="1"/>
  <c r="F390" i="3" l="1"/>
  <c r="G390" i="3"/>
  <c r="K390" i="3"/>
  <c r="AE390" i="3" s="1"/>
  <c r="I390" i="3" l="1"/>
  <c r="J390" i="3"/>
  <c r="M390" i="3"/>
  <c r="N390" i="3" s="1"/>
  <c r="V390" i="3"/>
  <c r="A391" i="3"/>
  <c r="B391" i="3" s="1"/>
  <c r="W390" i="3" l="1"/>
  <c r="L390" i="3"/>
  <c r="AC391" i="3"/>
  <c r="AA391" i="3"/>
  <c r="Z391" i="3"/>
  <c r="P391" i="3"/>
  <c r="Q391" i="3" s="1"/>
  <c r="R391" i="3" s="1"/>
  <c r="S391" i="3" s="1"/>
  <c r="U390" i="3" l="1"/>
  <c r="Y389" i="3"/>
  <c r="T391" i="3"/>
  <c r="E391" i="3" l="1"/>
  <c r="H391" i="3" s="1"/>
  <c r="K391" i="3" s="1"/>
  <c r="AE391" i="3" s="1"/>
  <c r="AG391" i="3"/>
  <c r="AH391" i="3"/>
  <c r="D391" i="3"/>
  <c r="V391" i="3" l="1"/>
  <c r="A392" i="3"/>
  <c r="B392" i="3" s="1"/>
  <c r="F391" i="3"/>
  <c r="G391" i="3"/>
  <c r="I391" i="3" l="1"/>
  <c r="W391" i="3" s="1"/>
  <c r="J391" i="3"/>
  <c r="AD391" i="3" s="1"/>
  <c r="M391" i="3"/>
  <c r="N391" i="3" s="1"/>
  <c r="AD392" i="3"/>
  <c r="Z392" i="3"/>
  <c r="P392" i="3"/>
  <c r="Q392" i="3" s="1"/>
  <c r="R392" i="3" s="1"/>
  <c r="S392" i="3" s="1"/>
  <c r="AA392" i="3"/>
  <c r="AC392" i="3"/>
  <c r="T392" i="3" l="1"/>
  <c r="L391" i="3"/>
  <c r="U391" i="3" l="1"/>
  <c r="D392" i="3" s="1"/>
  <c r="AH392" i="3"/>
  <c r="AG392" i="3"/>
  <c r="Y390" i="3"/>
  <c r="G392" i="3" l="1"/>
  <c r="E392" i="3"/>
  <c r="H392" i="3" s="1"/>
  <c r="F392" i="3" l="1"/>
  <c r="I392" i="3"/>
  <c r="J392" i="3"/>
  <c r="M392" i="3"/>
  <c r="N392" i="3" s="1"/>
  <c r="K392" i="3"/>
  <c r="AE392" i="3" s="1"/>
  <c r="V392" i="3" l="1"/>
  <c r="W392" i="3" s="1"/>
  <c r="A393" i="3"/>
  <c r="B393" i="3" s="1"/>
  <c r="L392" i="3"/>
  <c r="U392" i="3" l="1"/>
  <c r="Y391" i="3"/>
  <c r="AD393" i="3"/>
  <c r="Z393" i="3"/>
  <c r="AA393" i="3"/>
  <c r="P393" i="3"/>
  <c r="Q393" i="3" s="1"/>
  <c r="R393" i="3" s="1"/>
  <c r="S393" i="3" s="1"/>
  <c r="AC393" i="3"/>
  <c r="T393" i="3" l="1"/>
  <c r="AG393" i="3" s="1"/>
  <c r="E393" i="3" l="1"/>
  <c r="H393" i="3" s="1"/>
  <c r="K393" i="3" s="1"/>
  <c r="AE393" i="3" s="1"/>
  <c r="D393" i="3"/>
  <c r="AH393" i="3"/>
  <c r="V393" i="3" l="1"/>
  <c r="A394" i="3"/>
  <c r="B394" i="3" s="1"/>
  <c r="F393" i="3"/>
  <c r="G393" i="3"/>
  <c r="I393" i="3" l="1"/>
  <c r="W393" i="3" s="1"/>
  <c r="J393" i="3"/>
  <c r="M393" i="3"/>
  <c r="N393" i="3" s="1"/>
  <c r="P394" i="3"/>
  <c r="Q394" i="3" s="1"/>
  <c r="R394" i="3" s="1"/>
  <c r="S394" i="3" s="1"/>
  <c r="AC394" i="3"/>
  <c r="Z394" i="3"/>
  <c r="AA394" i="3"/>
  <c r="T394" i="3" l="1"/>
  <c r="L393" i="3"/>
  <c r="AH394" i="3" l="1"/>
  <c r="AG394" i="3"/>
  <c r="U393" i="3"/>
  <c r="D394" i="3" s="1"/>
  <c r="Y392" i="3"/>
  <c r="G394" i="3" l="1"/>
  <c r="E394" i="3"/>
  <c r="H394" i="3" s="1"/>
  <c r="F394" i="3" l="1"/>
  <c r="I394" i="3"/>
  <c r="J394" i="3"/>
  <c r="AD394" i="3" s="1"/>
  <c r="M394" i="3"/>
  <c r="N394" i="3" s="1"/>
  <c r="K394" i="3"/>
  <c r="AE394" i="3" s="1"/>
  <c r="L394" i="3" l="1"/>
  <c r="V394" i="3"/>
  <c r="W394" i="3" s="1"/>
  <c r="A395" i="3"/>
  <c r="B395" i="3" s="1"/>
  <c r="U394" i="3" l="1"/>
  <c r="Y393" i="3"/>
  <c r="AA395" i="3"/>
  <c r="P395" i="3"/>
  <c r="Q395" i="3" s="1"/>
  <c r="R395" i="3" s="1"/>
  <c r="S395" i="3" s="1"/>
  <c r="Z395" i="3"/>
  <c r="AC395" i="3"/>
  <c r="T395" i="3" l="1"/>
  <c r="AG395" i="3" s="1"/>
  <c r="AH395" i="3" l="1"/>
  <c r="E395" i="3"/>
  <c r="H395" i="3" s="1"/>
  <c r="K395" i="3" s="1"/>
  <c r="AE395" i="3" s="1"/>
  <c r="D395" i="3"/>
  <c r="G395" i="3" s="1"/>
  <c r="F395" i="3" l="1"/>
  <c r="V395" i="3"/>
  <c r="A396" i="3"/>
  <c r="B396" i="3" s="1"/>
  <c r="I395" i="3"/>
  <c r="J395" i="3"/>
  <c r="AD395" i="3" s="1"/>
  <c r="M395" i="3"/>
  <c r="N395" i="3" s="1"/>
  <c r="W395" i="3" l="1"/>
  <c r="L395" i="3"/>
  <c r="AA396" i="3"/>
  <c r="Z396" i="3"/>
  <c r="P396" i="3"/>
  <c r="Q396" i="3" s="1"/>
  <c r="R396" i="3" s="1"/>
  <c r="S396" i="3" s="1"/>
  <c r="AC396" i="3"/>
  <c r="U395" i="3" l="1"/>
  <c r="Y394" i="3"/>
  <c r="T396" i="3"/>
  <c r="E396" i="3" l="1"/>
  <c r="H396" i="3" s="1"/>
  <c r="K396" i="3" s="1"/>
  <c r="AE396" i="3" s="1"/>
  <c r="AG396" i="3"/>
  <c r="AH396" i="3"/>
  <c r="D396" i="3"/>
  <c r="F396" i="3" l="1"/>
  <c r="G396" i="3"/>
  <c r="V396" i="3"/>
  <c r="A397" i="3"/>
  <c r="B397" i="3" s="1"/>
  <c r="P397" i="3" l="1"/>
  <c r="Q397" i="3" s="1"/>
  <c r="R397" i="3" s="1"/>
  <c r="S397" i="3" s="1"/>
  <c r="AC397" i="3"/>
  <c r="AA397" i="3"/>
  <c r="Z397" i="3"/>
  <c r="I396" i="3"/>
  <c r="W396" i="3" s="1"/>
  <c r="J396" i="3"/>
  <c r="AD396" i="3" s="1"/>
  <c r="M396" i="3"/>
  <c r="N396" i="3" s="1"/>
  <c r="T397" i="3" l="1"/>
  <c r="L396" i="3"/>
  <c r="U396" i="3" l="1"/>
  <c r="E397" i="3" s="1"/>
  <c r="H397" i="3" s="1"/>
  <c r="AG397" i="3"/>
  <c r="AH397" i="3"/>
  <c r="Y395" i="3"/>
  <c r="D397" i="3" l="1"/>
  <c r="F397" i="3" s="1"/>
  <c r="K397" i="3"/>
  <c r="AE397" i="3" s="1"/>
  <c r="G397" i="3" l="1"/>
  <c r="M397" i="3" s="1"/>
  <c r="N397" i="3" s="1"/>
  <c r="V397" i="3"/>
  <c r="A398" i="3"/>
  <c r="B398" i="3" s="1"/>
  <c r="I397" i="3" l="1"/>
  <c r="W397" i="3" s="1"/>
  <c r="J397" i="3"/>
  <c r="AC398" i="3"/>
  <c r="AA398" i="3"/>
  <c r="P398" i="3"/>
  <c r="Q398" i="3" s="1"/>
  <c r="R398" i="3" s="1"/>
  <c r="S398" i="3" s="1"/>
  <c r="Z398" i="3"/>
  <c r="L397" i="3" l="1"/>
  <c r="U397" i="3" s="1"/>
  <c r="AD397" i="3"/>
  <c r="T398" i="3"/>
  <c r="Y396" i="3" l="1"/>
  <c r="E398" i="3"/>
  <c r="H398" i="3" s="1"/>
  <c r="K398" i="3" s="1"/>
  <c r="AE398" i="3" s="1"/>
  <c r="D398" i="3"/>
  <c r="G398" i="3" s="1"/>
  <c r="AH398" i="3"/>
  <c r="AG398" i="3"/>
  <c r="F398" i="3" l="1"/>
  <c r="V398" i="3"/>
  <c r="A399" i="3"/>
  <c r="B399" i="3" s="1"/>
  <c r="I398" i="3"/>
  <c r="J398" i="3"/>
  <c r="AD398" i="3" s="1"/>
  <c r="M398" i="3"/>
  <c r="N398" i="3" s="1"/>
  <c r="L398" i="3" l="1"/>
  <c r="W398" i="3"/>
  <c r="Z399" i="3"/>
  <c r="P399" i="3"/>
  <c r="Q399" i="3" s="1"/>
  <c r="R399" i="3" s="1"/>
  <c r="S399" i="3" s="1"/>
  <c r="AA399" i="3"/>
  <c r="AC399" i="3"/>
  <c r="U398" i="3" l="1"/>
  <c r="Y397" i="3"/>
  <c r="T399" i="3"/>
  <c r="AH399" i="3" s="1"/>
  <c r="D399" i="3" l="1"/>
  <c r="G399" i="3" s="1"/>
  <c r="AG399" i="3"/>
  <c r="E399" i="3"/>
  <c r="H399" i="3" s="1"/>
  <c r="F399" i="3" l="1"/>
  <c r="I399" i="3"/>
  <c r="J399" i="3"/>
  <c r="AD399" i="3" s="1"/>
  <c r="M399" i="3"/>
  <c r="N399" i="3" s="1"/>
  <c r="K399" i="3"/>
  <c r="AE399" i="3" s="1"/>
  <c r="V399" i="3" l="1"/>
  <c r="W399" i="3" s="1"/>
  <c r="A400" i="3"/>
  <c r="B400" i="3" s="1"/>
  <c r="L399" i="3"/>
  <c r="U399" i="3" l="1"/>
  <c r="Y398" i="3"/>
  <c r="AC400" i="3"/>
  <c r="Z400" i="3"/>
  <c r="P400" i="3"/>
  <c r="Q400" i="3" s="1"/>
  <c r="R400" i="3" s="1"/>
  <c r="S400" i="3" s="1"/>
  <c r="AA400" i="3"/>
  <c r="T400" i="3" l="1"/>
  <c r="AH400" i="3" s="1"/>
  <c r="AG400" i="3" l="1"/>
  <c r="D400" i="3"/>
  <c r="G400" i="3" s="1"/>
  <c r="E400" i="3"/>
  <c r="H400" i="3" s="1"/>
  <c r="K400" i="3" s="1"/>
  <c r="AE400" i="3" s="1"/>
  <c r="F400" i="3" l="1"/>
  <c r="V400" i="3"/>
  <c r="A401" i="3"/>
  <c r="B401" i="3" s="1"/>
  <c r="I400" i="3"/>
  <c r="J400" i="3"/>
  <c r="AD400" i="3" s="1"/>
  <c r="M400" i="3"/>
  <c r="N400" i="3" s="1"/>
  <c r="W400" i="3" l="1"/>
  <c r="L400" i="3"/>
  <c r="AA401" i="3"/>
  <c r="Z401" i="3"/>
  <c r="AC401" i="3"/>
  <c r="P401" i="3"/>
  <c r="Q401" i="3" s="1"/>
  <c r="R401" i="3" s="1"/>
  <c r="S401" i="3" s="1"/>
  <c r="U400" i="3" l="1"/>
  <c r="Y399" i="3"/>
  <c r="T401" i="3"/>
  <c r="AG401" i="3" s="1"/>
  <c r="D401" i="3" l="1"/>
  <c r="E401" i="3"/>
  <c r="H401" i="3" s="1"/>
  <c r="K401" i="3" s="1"/>
  <c r="AE401" i="3" s="1"/>
  <c r="AH401" i="3"/>
  <c r="F401" i="3" l="1"/>
  <c r="G401" i="3"/>
  <c r="J401" i="3" s="1"/>
  <c r="AD401" i="3" s="1"/>
  <c r="V401" i="3"/>
  <c r="A402" i="3"/>
  <c r="B402" i="3" s="1"/>
  <c r="M401" i="3" l="1"/>
  <c r="N401" i="3" s="1"/>
  <c r="I401" i="3"/>
  <c r="W401" i="3" s="1"/>
  <c r="L401" i="3"/>
  <c r="AA402" i="3"/>
  <c r="AC402" i="3"/>
  <c r="Z402" i="3"/>
  <c r="P402" i="3"/>
  <c r="Q402" i="3" s="1"/>
  <c r="R402" i="3" s="1"/>
  <c r="S402" i="3" s="1"/>
  <c r="U401" i="3" l="1"/>
  <c r="Y400" i="3"/>
  <c r="T402" i="3"/>
  <c r="AG402" i="3" s="1"/>
  <c r="AH402" i="3" l="1"/>
  <c r="E402" i="3"/>
  <c r="H402" i="3" s="1"/>
  <c r="K402" i="3" s="1"/>
  <c r="AE402" i="3" s="1"/>
  <c r="D402" i="3"/>
  <c r="G402" i="3" s="1"/>
  <c r="F402" i="3" l="1"/>
  <c r="I402" i="3"/>
  <c r="J402" i="3"/>
  <c r="AD402" i="3" s="1"/>
  <c r="M402" i="3"/>
  <c r="N402" i="3" s="1"/>
  <c r="V402" i="3"/>
  <c r="A403" i="3"/>
  <c r="B403" i="3" s="1"/>
  <c r="W402" i="3" l="1"/>
  <c r="L402" i="3"/>
  <c r="AC403" i="3"/>
  <c r="AA403" i="3"/>
  <c r="P403" i="3"/>
  <c r="Q403" i="3" s="1"/>
  <c r="R403" i="3" s="1"/>
  <c r="S403" i="3" s="1"/>
  <c r="Z403" i="3"/>
  <c r="T403" i="3" l="1"/>
  <c r="AH403" i="3" s="1"/>
  <c r="U402" i="3"/>
  <c r="Y401" i="3"/>
  <c r="AG403" i="3" l="1"/>
  <c r="D403" i="3"/>
  <c r="E403" i="3"/>
  <c r="H403" i="3" s="1"/>
  <c r="F403" i="3" l="1"/>
  <c r="G403" i="3"/>
  <c r="K403" i="3"/>
  <c r="AE403" i="3" s="1"/>
  <c r="V403" i="3" l="1"/>
  <c r="A404" i="3"/>
  <c r="B404" i="3" s="1"/>
  <c r="I403" i="3"/>
  <c r="J403" i="3"/>
  <c r="AD403" i="3" s="1"/>
  <c r="M403" i="3"/>
  <c r="N403" i="3" s="1"/>
  <c r="W403" i="3" l="1"/>
  <c r="L403" i="3"/>
  <c r="P404" i="3"/>
  <c r="Q404" i="3" s="1"/>
  <c r="R404" i="3" s="1"/>
  <c r="S404" i="3" s="1"/>
  <c r="AA404" i="3"/>
  <c r="Z404" i="3"/>
  <c r="AC404" i="3"/>
  <c r="U403" i="3" l="1"/>
  <c r="Y402" i="3"/>
  <c r="T404" i="3"/>
  <c r="AG404" i="3" s="1"/>
  <c r="E404" i="3" l="1"/>
  <c r="H404" i="3" s="1"/>
  <c r="K404" i="3" s="1"/>
  <c r="AE404" i="3" s="1"/>
  <c r="AH404" i="3"/>
  <c r="D404" i="3"/>
  <c r="G404" i="3" s="1"/>
  <c r="F404" i="3" l="1"/>
  <c r="I404" i="3"/>
  <c r="J404" i="3"/>
  <c r="AD404" i="3" s="1"/>
  <c r="M404" i="3"/>
  <c r="N404" i="3" s="1"/>
  <c r="V404" i="3"/>
  <c r="A405" i="3"/>
  <c r="B405" i="3" s="1"/>
  <c r="W404" i="3" l="1"/>
  <c r="L404" i="3"/>
  <c r="P405" i="3"/>
  <c r="Q405" i="3" s="1"/>
  <c r="R405" i="3" s="1"/>
  <c r="S405" i="3" s="1"/>
  <c r="AC405" i="3"/>
  <c r="Z405" i="3"/>
  <c r="AD405" i="3"/>
  <c r="AA405" i="3"/>
  <c r="U404" i="3" l="1"/>
  <c r="Y403" i="3"/>
  <c r="T405" i="3"/>
  <c r="E405" i="3" l="1"/>
  <c r="H405" i="3" s="1"/>
  <c r="K405" i="3" s="1"/>
  <c r="AE405" i="3" s="1"/>
  <c r="AH405" i="3"/>
  <c r="D405" i="3"/>
  <c r="AG405" i="3"/>
  <c r="F405" i="3" l="1"/>
  <c r="G405" i="3"/>
  <c r="V405" i="3"/>
  <c r="A406" i="3"/>
  <c r="B406" i="3" s="1"/>
  <c r="AD406" i="3" l="1"/>
  <c r="AA406" i="3"/>
  <c r="AC406" i="3"/>
  <c r="Z406" i="3"/>
  <c r="P406" i="3"/>
  <c r="Q406" i="3" s="1"/>
  <c r="R406" i="3" s="1"/>
  <c r="S406" i="3" s="1"/>
  <c r="I405" i="3"/>
  <c r="W405" i="3" s="1"/>
  <c r="J405" i="3"/>
  <c r="M405" i="3"/>
  <c r="N405" i="3" s="1"/>
  <c r="T406" i="3" l="1"/>
  <c r="L405" i="3"/>
  <c r="U405" i="3" l="1"/>
  <c r="E406" i="3" s="1"/>
  <c r="H406" i="3" s="1"/>
  <c r="AH406" i="3"/>
  <c r="AG406" i="3"/>
  <c r="Y404" i="3"/>
  <c r="K406" i="3" l="1"/>
  <c r="AE406" i="3" s="1"/>
  <c r="D406" i="3"/>
  <c r="V406" i="3" l="1"/>
  <c r="A407" i="3"/>
  <c r="B407" i="3" s="1"/>
  <c r="F406" i="3"/>
  <c r="G406" i="3"/>
  <c r="I406" i="3" l="1"/>
  <c r="W406" i="3" s="1"/>
  <c r="J406" i="3"/>
  <c r="M406" i="3"/>
  <c r="N406" i="3" s="1"/>
  <c r="AC407" i="3"/>
  <c r="Z407" i="3"/>
  <c r="P407" i="3"/>
  <c r="Q407" i="3" s="1"/>
  <c r="R407" i="3" s="1"/>
  <c r="S407" i="3" s="1"/>
  <c r="AA407" i="3"/>
  <c r="L406" i="3" l="1"/>
  <c r="T407" i="3"/>
  <c r="U406" i="3" l="1"/>
  <c r="D407" i="3" s="1"/>
  <c r="AG407" i="3"/>
  <c r="AH407" i="3"/>
  <c r="Y405" i="3"/>
  <c r="G407" i="3" l="1"/>
  <c r="E407" i="3"/>
  <c r="H407" i="3" s="1"/>
  <c r="F407" i="3" l="1"/>
  <c r="I407" i="3"/>
  <c r="J407" i="3"/>
  <c r="AD407" i="3" s="1"/>
  <c r="M407" i="3"/>
  <c r="N407" i="3" s="1"/>
  <c r="K407" i="3"/>
  <c r="AE407" i="3" s="1"/>
  <c r="V407" i="3" l="1"/>
  <c r="W407" i="3" s="1"/>
  <c r="A408" i="3"/>
  <c r="B408" i="3" s="1"/>
  <c r="L407" i="3"/>
  <c r="U407" i="3" l="1"/>
  <c r="Y406" i="3"/>
  <c r="Z408" i="3"/>
  <c r="AC408" i="3"/>
  <c r="AD408" i="3"/>
  <c r="P408" i="3"/>
  <c r="Q408" i="3" s="1"/>
  <c r="R408" i="3" s="1"/>
  <c r="S408" i="3" s="1"/>
  <c r="AA408" i="3"/>
  <c r="T408" i="3" l="1"/>
  <c r="AH408" i="3" s="1"/>
  <c r="E408" i="3" l="1"/>
  <c r="H408" i="3" s="1"/>
  <c r="K408" i="3" s="1"/>
  <c r="AE408" i="3" s="1"/>
  <c r="D408" i="3"/>
  <c r="G408" i="3" s="1"/>
  <c r="AG408" i="3"/>
  <c r="F408" i="3" l="1"/>
  <c r="I408" i="3"/>
  <c r="J408" i="3"/>
  <c r="M408" i="3"/>
  <c r="N408" i="3" s="1"/>
  <c r="V408" i="3"/>
  <c r="A409" i="3"/>
  <c r="B409" i="3" s="1"/>
  <c r="W408" i="3" l="1"/>
  <c r="L408" i="3"/>
  <c r="AA409" i="3"/>
  <c r="AC409" i="3"/>
  <c r="P409" i="3"/>
  <c r="Q409" i="3" s="1"/>
  <c r="R409" i="3" s="1"/>
  <c r="S409" i="3" s="1"/>
  <c r="AD409" i="3"/>
  <c r="Z409" i="3"/>
  <c r="U408" i="3" l="1"/>
  <c r="Y407" i="3"/>
  <c r="T409" i="3"/>
  <c r="E409" i="3" l="1"/>
  <c r="H409" i="3" s="1"/>
  <c r="K409" i="3" s="1"/>
  <c r="AE409" i="3" s="1"/>
  <c r="AH409" i="3"/>
  <c r="D409" i="3"/>
  <c r="AG409" i="3"/>
  <c r="F409" i="3" l="1"/>
  <c r="G409" i="3"/>
  <c r="V409" i="3"/>
  <c r="A410" i="3"/>
  <c r="B410" i="3" s="1"/>
  <c r="P410" i="3" l="1"/>
  <c r="Q410" i="3" s="1"/>
  <c r="R410" i="3" s="1"/>
  <c r="S410" i="3" s="1"/>
  <c r="AA410" i="3"/>
  <c r="AC410" i="3"/>
  <c r="AD410" i="3"/>
  <c r="Z410" i="3"/>
  <c r="I409" i="3"/>
  <c r="W409" i="3" s="1"/>
  <c r="J409" i="3"/>
  <c r="M409" i="3"/>
  <c r="N409" i="3" s="1"/>
  <c r="T410" i="3" l="1"/>
  <c r="L409" i="3"/>
  <c r="AG410" i="3" l="1"/>
  <c r="U409" i="3"/>
  <c r="D410" i="3" s="1"/>
  <c r="AH410" i="3"/>
  <c r="Y408" i="3"/>
  <c r="E410" i="3" l="1"/>
  <c r="H410" i="3" s="1"/>
  <c r="K410" i="3" s="1"/>
  <c r="AE410" i="3" s="1"/>
  <c r="G410" i="3"/>
  <c r="F410" i="3" l="1"/>
  <c r="I410" i="3"/>
  <c r="J410" i="3"/>
  <c r="M410" i="3"/>
  <c r="N410" i="3" s="1"/>
  <c r="V410" i="3"/>
  <c r="A411" i="3"/>
  <c r="B411" i="3" s="1"/>
  <c r="W410" i="3" l="1"/>
  <c r="L410" i="3"/>
  <c r="AC411" i="3"/>
  <c r="P411" i="3"/>
  <c r="Q411" i="3" s="1"/>
  <c r="R411" i="3" s="1"/>
  <c r="S411" i="3" s="1"/>
  <c r="AA411" i="3"/>
  <c r="Z411" i="3"/>
  <c r="U410" i="3" l="1"/>
  <c r="Y409" i="3"/>
  <c r="T411" i="3"/>
  <c r="AG411" i="3" s="1"/>
  <c r="E411" i="3" l="1"/>
  <c r="H411" i="3" s="1"/>
  <c r="K411" i="3" s="1"/>
  <c r="AE411" i="3" s="1"/>
  <c r="AH411" i="3"/>
  <c r="D411" i="3"/>
  <c r="F411" i="3" l="1"/>
  <c r="G411" i="3"/>
  <c r="V411" i="3"/>
  <c r="A412" i="3"/>
  <c r="B412" i="3" s="1"/>
  <c r="AA412" i="3" l="1"/>
  <c r="AC412" i="3"/>
  <c r="P412" i="3"/>
  <c r="Q412" i="3" s="1"/>
  <c r="R412" i="3" s="1"/>
  <c r="S412" i="3" s="1"/>
  <c r="Z412" i="3"/>
  <c r="AD412" i="3"/>
  <c r="I411" i="3"/>
  <c r="W411" i="3" s="1"/>
  <c r="J411" i="3"/>
  <c r="AD411" i="3" s="1"/>
  <c r="M411" i="3"/>
  <c r="N411" i="3" s="1"/>
  <c r="T412" i="3" l="1"/>
  <c r="L411" i="3"/>
  <c r="U411" i="3" l="1"/>
  <c r="D412" i="3" s="1"/>
  <c r="AG412" i="3"/>
  <c r="AH412" i="3"/>
  <c r="Y410" i="3"/>
  <c r="G412" i="3" l="1"/>
  <c r="E412" i="3"/>
  <c r="H412" i="3" s="1"/>
  <c r="F412" i="3" l="1"/>
  <c r="I412" i="3"/>
  <c r="J412" i="3"/>
  <c r="M412" i="3"/>
  <c r="N412" i="3" s="1"/>
  <c r="K412" i="3"/>
  <c r="AE412" i="3" s="1"/>
  <c r="V412" i="3" l="1"/>
  <c r="W412" i="3" s="1"/>
  <c r="A413" i="3"/>
  <c r="B413" i="3" s="1"/>
  <c r="L412" i="3"/>
  <c r="U412" i="3" l="1"/>
  <c r="Y411" i="3"/>
  <c r="Z413" i="3"/>
  <c r="P413" i="3"/>
  <c r="Q413" i="3" s="1"/>
  <c r="R413" i="3" s="1"/>
  <c r="S413" i="3" s="1"/>
  <c r="AA413" i="3"/>
  <c r="AC413" i="3"/>
  <c r="AD413" i="3"/>
  <c r="T413" i="3" l="1"/>
  <c r="D413" i="3" s="1"/>
  <c r="E413" i="3" l="1"/>
  <c r="H413" i="3" s="1"/>
  <c r="K413" i="3" s="1"/>
  <c r="AE413" i="3" s="1"/>
  <c r="AH413" i="3"/>
  <c r="G413" i="3"/>
  <c r="AG413" i="3"/>
  <c r="F413" i="3" l="1"/>
  <c r="I413" i="3"/>
  <c r="J413" i="3"/>
  <c r="M413" i="3"/>
  <c r="N413" i="3" s="1"/>
  <c r="V413" i="3"/>
  <c r="A414" i="3"/>
  <c r="B414" i="3" s="1"/>
  <c r="L413" i="3" l="1"/>
  <c r="P414" i="3"/>
  <c r="Q414" i="3" s="1"/>
  <c r="R414" i="3" s="1"/>
  <c r="S414" i="3" s="1"/>
  <c r="Z414" i="3"/>
  <c r="AA414" i="3"/>
  <c r="AC414" i="3"/>
  <c r="W413" i="3"/>
  <c r="U413" i="3" l="1"/>
  <c r="Y412" i="3"/>
  <c r="T414" i="3"/>
  <c r="D414" i="3" l="1"/>
  <c r="G414" i="3" s="1"/>
  <c r="E414" i="3"/>
  <c r="H414" i="3" s="1"/>
  <c r="K414" i="3" s="1"/>
  <c r="AE414" i="3" s="1"/>
  <c r="AG414" i="3"/>
  <c r="AH414" i="3"/>
  <c r="F414" i="3" l="1"/>
  <c r="I414" i="3"/>
  <c r="J414" i="3"/>
  <c r="AD414" i="3" s="1"/>
  <c r="M414" i="3"/>
  <c r="N414" i="3" s="1"/>
  <c r="V414" i="3"/>
  <c r="A415" i="3"/>
  <c r="B415" i="3" s="1"/>
  <c r="W414" i="3" l="1"/>
  <c r="L414" i="3"/>
  <c r="P415" i="3"/>
  <c r="Q415" i="3" s="1"/>
  <c r="R415" i="3" s="1"/>
  <c r="S415" i="3" s="1"/>
  <c r="AA415" i="3"/>
  <c r="Z415" i="3"/>
  <c r="AC415" i="3"/>
  <c r="U414" i="3" l="1"/>
  <c r="Y413" i="3"/>
  <c r="T415" i="3"/>
  <c r="D415" i="3" l="1"/>
  <c r="G415" i="3" s="1"/>
  <c r="AG415" i="3"/>
  <c r="AH415" i="3"/>
  <c r="E415" i="3"/>
  <c r="H415" i="3" s="1"/>
  <c r="F415" i="3" l="1"/>
  <c r="K415" i="3"/>
  <c r="AE415" i="3" s="1"/>
  <c r="I415" i="3"/>
  <c r="J415" i="3"/>
  <c r="AD415" i="3" s="1"/>
  <c r="M415" i="3"/>
  <c r="N415" i="3" s="1"/>
  <c r="L415" i="3" l="1"/>
  <c r="V415" i="3"/>
  <c r="W415" i="3" s="1"/>
  <c r="A416" i="3"/>
  <c r="B416" i="3" s="1"/>
  <c r="Z416" i="3" l="1"/>
  <c r="AA416" i="3"/>
  <c r="P416" i="3"/>
  <c r="Q416" i="3" s="1"/>
  <c r="R416" i="3" s="1"/>
  <c r="S416" i="3" s="1"/>
  <c r="AC416" i="3"/>
  <c r="U415" i="3"/>
  <c r="Y414" i="3"/>
  <c r="T416" i="3" l="1"/>
  <c r="AG416" i="3" s="1"/>
  <c r="D416" i="3" l="1"/>
  <c r="G416" i="3" s="1"/>
  <c r="E416" i="3"/>
  <c r="H416" i="3" s="1"/>
  <c r="K416" i="3" s="1"/>
  <c r="AE416" i="3" s="1"/>
  <c r="AH416" i="3"/>
  <c r="F416" i="3" l="1"/>
  <c r="V416" i="3"/>
  <c r="A417" i="3"/>
  <c r="B417" i="3" s="1"/>
  <c r="I416" i="3"/>
  <c r="J416" i="3"/>
  <c r="AD416" i="3" s="1"/>
  <c r="M416" i="3"/>
  <c r="N416" i="3" s="1"/>
  <c r="W416" i="3" l="1"/>
  <c r="L416" i="3"/>
  <c r="Z417" i="3"/>
  <c r="AC417" i="3"/>
  <c r="AA417" i="3"/>
  <c r="P417" i="3"/>
  <c r="Q417" i="3" s="1"/>
  <c r="R417" i="3" s="1"/>
  <c r="S417" i="3" s="1"/>
  <c r="U416" i="3" l="1"/>
  <c r="Y415" i="3"/>
  <c r="T417" i="3"/>
  <c r="D417" i="3" l="1"/>
  <c r="G417" i="3" s="1"/>
  <c r="AH417" i="3"/>
  <c r="E417" i="3"/>
  <c r="H417" i="3" s="1"/>
  <c r="K417" i="3" s="1"/>
  <c r="AE417" i="3" s="1"/>
  <c r="AG417" i="3"/>
  <c r="F417" i="3" l="1"/>
  <c r="V417" i="3"/>
  <c r="A418" i="3"/>
  <c r="B418" i="3" s="1"/>
  <c r="I417" i="3"/>
  <c r="J417" i="3"/>
  <c r="AD417" i="3" s="1"/>
  <c r="M417" i="3"/>
  <c r="N417" i="3" s="1"/>
  <c r="W417" i="3" l="1"/>
  <c r="L417" i="3"/>
  <c r="Z418" i="3"/>
  <c r="AA418" i="3"/>
  <c r="AC418" i="3"/>
  <c r="P418" i="3"/>
  <c r="Q418" i="3" s="1"/>
  <c r="R418" i="3" s="1"/>
  <c r="S418" i="3" s="1"/>
  <c r="T418" i="3" l="1"/>
  <c r="U417" i="3"/>
  <c r="Y416" i="3"/>
  <c r="D418" i="3" l="1"/>
  <c r="G418" i="3" s="1"/>
  <c r="E418" i="3"/>
  <c r="H418" i="3" s="1"/>
  <c r="AG418" i="3"/>
  <c r="AH418" i="3"/>
  <c r="F418" i="3" l="1"/>
  <c r="I418" i="3"/>
  <c r="J418" i="3"/>
  <c r="AD418" i="3" s="1"/>
  <c r="M418" i="3"/>
  <c r="N418" i="3" s="1"/>
  <c r="K418" i="3"/>
  <c r="AE418" i="3" s="1"/>
  <c r="V418" i="3" l="1"/>
  <c r="W418" i="3" s="1"/>
  <c r="A419" i="3"/>
  <c r="B419" i="3" s="1"/>
  <c r="L418" i="3"/>
  <c r="U418" i="3" l="1"/>
  <c r="Y417" i="3"/>
  <c r="AA419" i="3"/>
  <c r="P419" i="3"/>
  <c r="Q419" i="3" s="1"/>
  <c r="R419" i="3" s="1"/>
  <c r="S419" i="3" s="1"/>
  <c r="Z419" i="3"/>
  <c r="AC419" i="3"/>
  <c r="T419" i="3" l="1"/>
  <c r="AG419" i="3" s="1"/>
  <c r="AH419" i="3" l="1"/>
  <c r="E419" i="3"/>
  <c r="H419" i="3" s="1"/>
  <c r="K419" i="3" s="1"/>
  <c r="AE419" i="3" s="1"/>
  <c r="D419" i="3"/>
  <c r="F419" i="3" l="1"/>
  <c r="G419" i="3"/>
  <c r="J419" i="3" s="1"/>
  <c r="AD419" i="3" s="1"/>
  <c r="V419" i="3"/>
  <c r="A420" i="3"/>
  <c r="B420" i="3" s="1"/>
  <c r="I419" i="3" l="1"/>
  <c r="W419" i="3" s="1"/>
  <c r="M419" i="3"/>
  <c r="N419" i="3" s="1"/>
  <c r="L419" i="3"/>
  <c r="AC420" i="3"/>
  <c r="AA420" i="3"/>
  <c r="Z420" i="3"/>
  <c r="P420" i="3"/>
  <c r="Q420" i="3" s="1"/>
  <c r="R420" i="3" s="1"/>
  <c r="S420" i="3" s="1"/>
  <c r="T420" i="3" l="1"/>
  <c r="AH420" i="3" s="1"/>
  <c r="U419" i="3"/>
  <c r="Y418" i="3"/>
  <c r="E420" i="3" l="1"/>
  <c r="H420" i="3" s="1"/>
  <c r="K420" i="3" s="1"/>
  <c r="AE420" i="3" s="1"/>
  <c r="D420" i="3"/>
  <c r="AG420" i="3"/>
  <c r="V420" i="3" l="1"/>
  <c r="A421" i="3"/>
  <c r="B421" i="3" s="1"/>
  <c r="F420" i="3"/>
  <c r="G420" i="3"/>
  <c r="I420" i="3" l="1"/>
  <c r="W420" i="3" s="1"/>
  <c r="J420" i="3"/>
  <c r="AD420" i="3" s="1"/>
  <c r="M420" i="3"/>
  <c r="N420" i="3" s="1"/>
  <c r="Z421" i="3"/>
  <c r="P421" i="3"/>
  <c r="Q421" i="3" s="1"/>
  <c r="R421" i="3" s="1"/>
  <c r="S421" i="3" s="1"/>
  <c r="AC421" i="3"/>
  <c r="AA421" i="3"/>
  <c r="T421" i="3" l="1"/>
  <c r="L420" i="3"/>
  <c r="U420" i="3" l="1"/>
  <c r="D421" i="3" s="1"/>
  <c r="AH421" i="3"/>
  <c r="AG421" i="3"/>
  <c r="Y419" i="3"/>
  <c r="E421" i="3" l="1"/>
  <c r="H421" i="3" s="1"/>
  <c r="K421" i="3" s="1"/>
  <c r="AE421" i="3" s="1"/>
  <c r="G421" i="3"/>
  <c r="F421" i="3" l="1"/>
  <c r="V421" i="3"/>
  <c r="A422" i="3"/>
  <c r="B422" i="3" s="1"/>
  <c r="I421" i="3"/>
  <c r="J421" i="3"/>
  <c r="AD421" i="3" s="1"/>
  <c r="M421" i="3"/>
  <c r="N421" i="3" s="1"/>
  <c r="W421" i="3" l="1"/>
  <c r="L421" i="3"/>
  <c r="Z422" i="3"/>
  <c r="P422" i="3"/>
  <c r="Q422" i="3" s="1"/>
  <c r="R422" i="3" s="1"/>
  <c r="S422" i="3" s="1"/>
  <c r="AC422" i="3"/>
  <c r="AA422" i="3"/>
  <c r="U421" i="3" l="1"/>
  <c r="Y420" i="3"/>
  <c r="T422" i="3"/>
  <c r="D422" i="3" l="1"/>
  <c r="G422" i="3" s="1"/>
  <c r="AG422" i="3"/>
  <c r="E422" i="3"/>
  <c r="H422" i="3" s="1"/>
  <c r="K422" i="3" s="1"/>
  <c r="AE422" i="3" s="1"/>
  <c r="AH422" i="3"/>
  <c r="F422" i="3" l="1"/>
  <c r="V422" i="3"/>
  <c r="A423" i="3"/>
  <c r="B423" i="3" s="1"/>
  <c r="I422" i="3"/>
  <c r="J422" i="3"/>
  <c r="AD422" i="3" s="1"/>
  <c r="M422" i="3"/>
  <c r="N422" i="3" s="1"/>
  <c r="L422" i="3" l="1"/>
  <c r="W422" i="3"/>
  <c r="P423" i="3"/>
  <c r="Q423" i="3" s="1"/>
  <c r="R423" i="3" s="1"/>
  <c r="S423" i="3" s="1"/>
  <c r="Z423" i="3"/>
  <c r="AC423" i="3"/>
  <c r="AA423" i="3"/>
  <c r="U422" i="3" l="1"/>
  <c r="Y421" i="3"/>
  <c r="T423" i="3"/>
  <c r="D423" i="3" l="1"/>
  <c r="G423" i="3" s="1"/>
  <c r="AH423" i="3"/>
  <c r="E423" i="3"/>
  <c r="H423" i="3" s="1"/>
  <c r="K423" i="3" s="1"/>
  <c r="AE423" i="3" s="1"/>
  <c r="AG423" i="3"/>
  <c r="F423" i="3" l="1"/>
  <c r="V423" i="3"/>
  <c r="A424" i="3"/>
  <c r="B424" i="3" s="1"/>
  <c r="I423" i="3"/>
  <c r="J423" i="3"/>
  <c r="AD423" i="3" s="1"/>
  <c r="M423" i="3"/>
  <c r="N423" i="3" s="1"/>
  <c r="W423" i="3" l="1"/>
  <c r="L423" i="3"/>
  <c r="AA424" i="3"/>
  <c r="P424" i="3"/>
  <c r="Q424" i="3" s="1"/>
  <c r="R424" i="3" s="1"/>
  <c r="S424" i="3" s="1"/>
  <c r="Z424" i="3"/>
  <c r="AC424" i="3"/>
  <c r="T424" i="3" l="1"/>
  <c r="U423" i="3"/>
  <c r="Y422" i="3"/>
  <c r="D424" i="3" l="1"/>
  <c r="G424" i="3" s="1"/>
  <c r="E424" i="3"/>
  <c r="H424" i="3" s="1"/>
  <c r="K424" i="3" s="1"/>
  <c r="AE424" i="3" s="1"/>
  <c r="AG424" i="3"/>
  <c r="AH424" i="3"/>
  <c r="F424" i="3" l="1"/>
  <c r="V424" i="3"/>
  <c r="A425" i="3"/>
  <c r="B425" i="3" s="1"/>
  <c r="I424" i="3"/>
  <c r="J424" i="3"/>
  <c r="AD424" i="3" s="1"/>
  <c r="M424" i="3"/>
  <c r="N424" i="3" s="1"/>
  <c r="W424" i="3" l="1"/>
  <c r="L424" i="3"/>
  <c r="Z425" i="3"/>
  <c r="AA425" i="3"/>
  <c r="P425" i="3"/>
  <c r="Q425" i="3" s="1"/>
  <c r="R425" i="3" s="1"/>
  <c r="S425" i="3" s="1"/>
  <c r="AC425" i="3"/>
  <c r="AD425" i="3"/>
  <c r="U424" i="3" l="1"/>
  <c r="Y423" i="3"/>
  <c r="T425" i="3"/>
  <c r="E425" i="3" l="1"/>
  <c r="H425" i="3" s="1"/>
  <c r="K425" i="3" s="1"/>
  <c r="AE425" i="3" s="1"/>
  <c r="D425" i="3"/>
  <c r="G425" i="3" s="1"/>
  <c r="AH425" i="3"/>
  <c r="AG425" i="3"/>
  <c r="F425" i="3" l="1"/>
  <c r="I425" i="3"/>
  <c r="J425" i="3"/>
  <c r="M425" i="3"/>
  <c r="N425" i="3" s="1"/>
  <c r="V425" i="3"/>
  <c r="A426" i="3"/>
  <c r="B426" i="3" s="1"/>
  <c r="L425" i="3" l="1"/>
  <c r="W425" i="3"/>
  <c r="P426" i="3"/>
  <c r="Q426" i="3" s="1"/>
  <c r="R426" i="3" s="1"/>
  <c r="S426" i="3" s="1"/>
  <c r="AA426" i="3"/>
  <c r="AD426" i="3"/>
  <c r="Z426" i="3"/>
  <c r="AC426" i="3"/>
  <c r="U425" i="3" l="1"/>
  <c r="Y424" i="3"/>
  <c r="T426" i="3"/>
  <c r="AH426" i="3" s="1"/>
  <c r="E426" i="3" l="1"/>
  <c r="H426" i="3" s="1"/>
  <c r="D426" i="3"/>
  <c r="AG426" i="3"/>
  <c r="K426" i="3" l="1"/>
  <c r="AE426" i="3" s="1"/>
  <c r="F426" i="3"/>
  <c r="G426" i="3"/>
  <c r="V426" i="3" l="1"/>
  <c r="A427" i="3"/>
  <c r="B427" i="3" s="1"/>
  <c r="I426" i="3"/>
  <c r="J426" i="3"/>
  <c r="M426" i="3"/>
  <c r="N426" i="3" s="1"/>
  <c r="W426" i="3" l="1"/>
  <c r="L426" i="3"/>
  <c r="P427" i="3"/>
  <c r="Q427" i="3" s="1"/>
  <c r="R427" i="3" s="1"/>
  <c r="S427" i="3" s="1"/>
  <c r="AC427" i="3"/>
  <c r="Z427" i="3"/>
  <c r="AA427" i="3"/>
  <c r="U426" i="3" l="1"/>
  <c r="Y425" i="3"/>
  <c r="T427" i="3"/>
  <c r="AG427" i="3" s="1"/>
  <c r="D427" i="3" l="1"/>
  <c r="G427" i="3" s="1"/>
  <c r="E427" i="3"/>
  <c r="H427" i="3" s="1"/>
  <c r="K427" i="3" s="1"/>
  <c r="AE427" i="3" s="1"/>
  <c r="AH427" i="3"/>
  <c r="F427" i="3" l="1"/>
  <c r="I427" i="3"/>
  <c r="J427" i="3"/>
  <c r="AD427" i="3" s="1"/>
  <c r="M427" i="3"/>
  <c r="N427" i="3" s="1"/>
  <c r="V427" i="3"/>
  <c r="A428" i="3"/>
  <c r="B428" i="3" s="1"/>
  <c r="W427" i="3" l="1"/>
  <c r="L427" i="3"/>
  <c r="P428" i="3"/>
  <c r="Q428" i="3" s="1"/>
  <c r="R428" i="3" s="1"/>
  <c r="S428" i="3" s="1"/>
  <c r="AC428" i="3"/>
  <c r="Z428" i="3"/>
  <c r="AA428" i="3"/>
  <c r="AD428" i="3"/>
  <c r="U427" i="3" l="1"/>
  <c r="Y426" i="3"/>
  <c r="T428" i="3"/>
  <c r="AG428" i="3" s="1"/>
  <c r="E428" i="3" l="1"/>
  <c r="H428" i="3" s="1"/>
  <c r="AH428" i="3"/>
  <c r="D428" i="3"/>
  <c r="K428" i="3" l="1"/>
  <c r="AE428" i="3" s="1"/>
  <c r="F428" i="3"/>
  <c r="G428" i="3"/>
  <c r="I428" i="3" l="1"/>
  <c r="J428" i="3"/>
  <c r="M428" i="3"/>
  <c r="N428" i="3" s="1"/>
  <c r="V428" i="3"/>
  <c r="A429" i="3"/>
  <c r="B429" i="3" s="1"/>
  <c r="W428" i="3" l="1"/>
  <c r="AD429" i="3"/>
  <c r="Z429" i="3"/>
  <c r="AC429" i="3"/>
  <c r="P429" i="3"/>
  <c r="Q429" i="3" s="1"/>
  <c r="R429" i="3" s="1"/>
  <c r="S429" i="3" s="1"/>
  <c r="AA429" i="3"/>
  <c r="L428" i="3"/>
  <c r="U428" i="3" l="1"/>
  <c r="Y427" i="3"/>
  <c r="T429" i="3"/>
  <c r="D429" i="3" l="1"/>
  <c r="G429" i="3" s="1"/>
  <c r="E429" i="3"/>
  <c r="H429" i="3" s="1"/>
  <c r="K429" i="3" s="1"/>
  <c r="AE429" i="3" s="1"/>
  <c r="AG429" i="3"/>
  <c r="AH429" i="3"/>
  <c r="F429" i="3" l="1"/>
  <c r="I429" i="3"/>
  <c r="J429" i="3"/>
  <c r="M429" i="3"/>
  <c r="N429" i="3" s="1"/>
  <c r="V429" i="3"/>
  <c r="A430" i="3"/>
  <c r="B430" i="3" s="1"/>
  <c r="L429" i="3" l="1"/>
  <c r="W429" i="3"/>
  <c r="AA430" i="3"/>
  <c r="Z430" i="3"/>
  <c r="P430" i="3"/>
  <c r="Q430" i="3" s="1"/>
  <c r="R430" i="3" s="1"/>
  <c r="S430" i="3" s="1"/>
  <c r="AC430" i="3"/>
  <c r="AD430" i="3"/>
  <c r="U429" i="3" l="1"/>
  <c r="Y428" i="3"/>
  <c r="T430" i="3"/>
  <c r="D430" i="3" l="1"/>
  <c r="G430" i="3" s="1"/>
  <c r="AH430" i="3"/>
  <c r="E430" i="3"/>
  <c r="H430" i="3" s="1"/>
  <c r="AG430" i="3"/>
  <c r="F430" i="3" l="1"/>
  <c r="I430" i="3"/>
  <c r="J430" i="3"/>
  <c r="M430" i="3"/>
  <c r="N430" i="3" s="1"/>
  <c r="K430" i="3"/>
  <c r="AE430" i="3" s="1"/>
  <c r="V430" i="3" l="1"/>
  <c r="W430" i="3" s="1"/>
  <c r="A431" i="3"/>
  <c r="B431" i="3" s="1"/>
  <c r="L430" i="3"/>
  <c r="U430" i="3" l="1"/>
  <c r="Y429" i="3"/>
  <c r="AC431" i="3"/>
  <c r="Z431" i="3"/>
  <c r="P431" i="3"/>
  <c r="Q431" i="3" s="1"/>
  <c r="R431" i="3" s="1"/>
  <c r="S431" i="3" s="1"/>
  <c r="AA431" i="3"/>
  <c r="T431" i="3" l="1"/>
  <c r="AH431" i="3" s="1"/>
  <c r="E431" i="3" l="1"/>
  <c r="H431" i="3" s="1"/>
  <c r="AG431" i="3"/>
  <c r="D431" i="3"/>
  <c r="K431" i="3" l="1"/>
  <c r="AE431" i="3" s="1"/>
  <c r="F431" i="3"/>
  <c r="G431" i="3"/>
  <c r="V431" i="3" l="1"/>
  <c r="A432" i="3"/>
  <c r="B432" i="3" s="1"/>
  <c r="I431" i="3"/>
  <c r="J431" i="3"/>
  <c r="AD431" i="3" s="1"/>
  <c r="M431" i="3"/>
  <c r="N431" i="3" s="1"/>
  <c r="W431" i="3" l="1"/>
  <c r="L431" i="3"/>
  <c r="AA432" i="3"/>
  <c r="P432" i="3"/>
  <c r="Q432" i="3" s="1"/>
  <c r="R432" i="3" s="1"/>
  <c r="S432" i="3" s="1"/>
  <c r="AC432" i="3"/>
  <c r="Z432" i="3"/>
  <c r="AD432" i="3"/>
  <c r="T432" i="3" l="1"/>
  <c r="AH432" i="3" s="1"/>
  <c r="U431" i="3"/>
  <c r="Y430" i="3"/>
  <c r="AG432" i="3" l="1"/>
  <c r="E432" i="3"/>
  <c r="H432" i="3" s="1"/>
  <c r="D432" i="3"/>
  <c r="K432" i="3" l="1"/>
  <c r="AE432" i="3" s="1"/>
  <c r="F432" i="3"/>
  <c r="G432" i="3"/>
  <c r="I432" i="3" l="1"/>
  <c r="J432" i="3"/>
  <c r="M432" i="3"/>
  <c r="N432" i="3" s="1"/>
  <c r="V432" i="3"/>
  <c r="A433" i="3"/>
  <c r="B433" i="3" s="1"/>
  <c r="W432" i="3" l="1"/>
  <c r="L432" i="3"/>
  <c r="P433" i="3"/>
  <c r="Q433" i="3" s="1"/>
  <c r="R433" i="3" s="1"/>
  <c r="S433" i="3" s="1"/>
  <c r="AC433" i="3"/>
  <c r="Z433" i="3"/>
  <c r="AA433" i="3"/>
  <c r="AD433" i="3"/>
  <c r="U432" i="3" l="1"/>
  <c r="Y431" i="3"/>
  <c r="T433" i="3"/>
  <c r="E433" i="3" l="1"/>
  <c r="H433" i="3" s="1"/>
  <c r="K433" i="3" s="1"/>
  <c r="AE433" i="3" s="1"/>
  <c r="D433" i="3"/>
  <c r="AG433" i="3"/>
  <c r="AH433" i="3"/>
  <c r="F433" i="3" l="1"/>
  <c r="G433" i="3"/>
  <c r="M433" i="3" s="1"/>
  <c r="N433" i="3" s="1"/>
  <c r="V433" i="3"/>
  <c r="A434" i="3"/>
  <c r="B434" i="3" s="1"/>
  <c r="I433" i="3" l="1"/>
  <c r="W433" i="3" s="1"/>
  <c r="J433" i="3"/>
  <c r="L433" i="3" s="1"/>
  <c r="P434" i="3"/>
  <c r="Q434" i="3" s="1"/>
  <c r="R434" i="3" s="1"/>
  <c r="S434" i="3" s="1"/>
  <c r="Z434" i="3"/>
  <c r="AA434" i="3"/>
  <c r="AC434" i="3"/>
  <c r="U433" i="3" l="1"/>
  <c r="Y432" i="3"/>
  <c r="T434" i="3"/>
  <c r="AH434" i="3" s="1"/>
  <c r="E434" i="3" l="1"/>
  <c r="H434" i="3" s="1"/>
  <c r="K434" i="3" s="1"/>
  <c r="AE434" i="3" s="1"/>
  <c r="AG434" i="3"/>
  <c r="D434" i="3"/>
  <c r="F434" i="3" l="1"/>
  <c r="G434" i="3"/>
  <c r="M434" i="3" s="1"/>
  <c r="N434" i="3" s="1"/>
  <c r="V434" i="3"/>
  <c r="A435" i="3"/>
  <c r="B435" i="3" s="1"/>
  <c r="I434" i="3" l="1"/>
  <c r="W434" i="3" s="1"/>
  <c r="J434" i="3"/>
  <c r="P435" i="3"/>
  <c r="Q435" i="3" s="1"/>
  <c r="R435" i="3" s="1"/>
  <c r="S435" i="3" s="1"/>
  <c r="AA435" i="3"/>
  <c r="AD435" i="3"/>
  <c r="AC435" i="3"/>
  <c r="Z435" i="3"/>
  <c r="L434" i="3" l="1"/>
  <c r="Y433" i="3" s="1"/>
  <c r="AD434" i="3"/>
  <c r="T435" i="3"/>
  <c r="U434" i="3" l="1"/>
  <c r="E435" i="3" s="1"/>
  <c r="H435" i="3" s="1"/>
  <c r="AG435" i="3"/>
  <c r="AH435" i="3"/>
  <c r="D435" i="3" l="1"/>
  <c r="G435" i="3" s="1"/>
  <c r="I435" i="3" s="1"/>
  <c r="K435" i="3"/>
  <c r="AE435" i="3" s="1"/>
  <c r="J435" i="3" l="1"/>
  <c r="L435" i="3" s="1"/>
  <c r="M435" i="3"/>
  <c r="N435" i="3" s="1"/>
  <c r="F435" i="3"/>
  <c r="V435" i="3"/>
  <c r="W435" i="3" s="1"/>
  <c r="A436" i="3"/>
  <c r="B436" i="3" s="1"/>
  <c r="AC436" i="3" l="1"/>
  <c r="Z436" i="3"/>
  <c r="P436" i="3"/>
  <c r="Q436" i="3" s="1"/>
  <c r="R436" i="3" s="1"/>
  <c r="S436" i="3" s="1"/>
  <c r="AA436" i="3"/>
  <c r="AD436" i="3"/>
  <c r="U435" i="3"/>
  <c r="Y434" i="3"/>
  <c r="T436" i="3" l="1"/>
  <c r="E436" i="3" l="1"/>
  <c r="H436" i="3" s="1"/>
  <c r="D436" i="3"/>
  <c r="AH436" i="3"/>
  <c r="AG436" i="3"/>
  <c r="F436" i="3" l="1"/>
  <c r="G436" i="3"/>
  <c r="K436" i="3"/>
  <c r="AE436" i="3" s="1"/>
  <c r="I436" i="3" l="1"/>
  <c r="J436" i="3"/>
  <c r="M436" i="3"/>
  <c r="N436" i="3" s="1"/>
  <c r="V436" i="3"/>
  <c r="A437" i="3"/>
  <c r="B437" i="3" s="1"/>
  <c r="W436" i="3" l="1"/>
  <c r="L436" i="3"/>
  <c r="AC437" i="3"/>
  <c r="AA437" i="3"/>
  <c r="P437" i="3"/>
  <c r="Q437" i="3" s="1"/>
  <c r="R437" i="3" s="1"/>
  <c r="S437" i="3" s="1"/>
  <c r="Z437" i="3"/>
  <c r="U436" i="3" l="1"/>
  <c r="Y435" i="3"/>
  <c r="T437" i="3"/>
  <c r="AH437" i="3" s="1"/>
  <c r="D437" i="3" l="1"/>
  <c r="G437" i="3" s="1"/>
  <c r="E437" i="3"/>
  <c r="H437" i="3" s="1"/>
  <c r="K437" i="3" s="1"/>
  <c r="AE437" i="3" s="1"/>
  <c r="AG437" i="3"/>
  <c r="F437" i="3" l="1"/>
  <c r="I437" i="3"/>
  <c r="J437" i="3"/>
  <c r="AD437" i="3" s="1"/>
  <c r="M437" i="3"/>
  <c r="N437" i="3" s="1"/>
  <c r="V437" i="3"/>
  <c r="A438" i="3"/>
  <c r="B438" i="3" s="1"/>
  <c r="W437" i="3" l="1"/>
  <c r="L437" i="3"/>
  <c r="Z438" i="3"/>
  <c r="P438" i="3"/>
  <c r="Q438" i="3" s="1"/>
  <c r="R438" i="3" s="1"/>
  <c r="S438" i="3" s="1"/>
  <c r="AC438" i="3"/>
  <c r="AD438" i="3"/>
  <c r="AA438" i="3"/>
  <c r="U437" i="3" l="1"/>
  <c r="Y436" i="3"/>
  <c r="T438" i="3"/>
  <c r="E438" i="3" l="1"/>
  <c r="H438" i="3" s="1"/>
  <c r="K438" i="3" s="1"/>
  <c r="AE438" i="3" s="1"/>
  <c r="D438" i="3"/>
  <c r="AH438" i="3"/>
  <c r="AG438" i="3"/>
  <c r="V438" i="3" l="1"/>
  <c r="A439" i="3"/>
  <c r="B439" i="3" s="1"/>
  <c r="F438" i="3"/>
  <c r="G438" i="3"/>
  <c r="I438" i="3" l="1"/>
  <c r="W438" i="3" s="1"/>
  <c r="J438" i="3"/>
  <c r="M438" i="3"/>
  <c r="N438" i="3" s="1"/>
  <c r="Z439" i="3"/>
  <c r="P439" i="3"/>
  <c r="Q439" i="3" s="1"/>
  <c r="R439" i="3" s="1"/>
  <c r="S439" i="3" s="1"/>
  <c r="AD439" i="3"/>
  <c r="AC439" i="3"/>
  <c r="AA439" i="3"/>
  <c r="T439" i="3" l="1"/>
  <c r="L438" i="3"/>
  <c r="AG439" i="3" l="1"/>
  <c r="AH439" i="3"/>
  <c r="U438" i="3"/>
  <c r="E439" i="3" s="1"/>
  <c r="H439" i="3" s="1"/>
  <c r="Y437" i="3"/>
  <c r="D439" i="3" l="1"/>
  <c r="G439" i="3" s="1"/>
  <c r="K439" i="3"/>
  <c r="AE439" i="3" s="1"/>
  <c r="F439" i="3" l="1"/>
  <c r="V439" i="3"/>
  <c r="A440" i="3"/>
  <c r="B440" i="3" s="1"/>
  <c r="I439" i="3"/>
  <c r="J439" i="3"/>
  <c r="M439" i="3"/>
  <c r="N439" i="3" s="1"/>
  <c r="W439" i="3" l="1"/>
  <c r="L439" i="3"/>
  <c r="Z440" i="3"/>
  <c r="AC440" i="3"/>
  <c r="P440" i="3"/>
  <c r="Q440" i="3" s="1"/>
  <c r="R440" i="3" s="1"/>
  <c r="S440" i="3" s="1"/>
  <c r="AA440" i="3"/>
  <c r="AD440" i="3"/>
  <c r="T440" i="3" l="1"/>
  <c r="AH440" i="3" s="1"/>
  <c r="U439" i="3"/>
  <c r="Y438" i="3"/>
  <c r="AG440" i="3" l="1"/>
  <c r="D440" i="3"/>
  <c r="E440" i="3"/>
  <c r="H440" i="3" s="1"/>
  <c r="K440" i="3" l="1"/>
  <c r="AE440" i="3" s="1"/>
  <c r="F440" i="3"/>
  <c r="G440" i="3"/>
  <c r="I440" i="3" l="1"/>
  <c r="J440" i="3"/>
  <c r="M440" i="3"/>
  <c r="N440" i="3" s="1"/>
  <c r="V440" i="3"/>
  <c r="A441" i="3"/>
  <c r="B441" i="3" s="1"/>
  <c r="W440" i="3" l="1"/>
  <c r="L440" i="3"/>
  <c r="P441" i="3"/>
  <c r="Q441" i="3" s="1"/>
  <c r="R441" i="3" s="1"/>
  <c r="S441" i="3" s="1"/>
  <c r="AC441" i="3"/>
  <c r="Z441" i="3"/>
  <c r="AA441" i="3"/>
  <c r="T441" i="3" l="1"/>
  <c r="AH441" i="3" s="1"/>
  <c r="U440" i="3"/>
  <c r="Y439" i="3"/>
  <c r="E441" i="3" l="1"/>
  <c r="H441" i="3" s="1"/>
  <c r="K441" i="3" s="1"/>
  <c r="AE441" i="3" s="1"/>
  <c r="AG441" i="3"/>
  <c r="D441" i="3"/>
  <c r="V441" i="3" l="1"/>
  <c r="A442" i="3"/>
  <c r="B442" i="3" s="1"/>
  <c r="F441" i="3"/>
  <c r="G441" i="3"/>
  <c r="I441" i="3" l="1"/>
  <c r="W441" i="3" s="1"/>
  <c r="J441" i="3"/>
  <c r="AD441" i="3" s="1"/>
  <c r="M441" i="3"/>
  <c r="N441" i="3" s="1"/>
  <c r="AC442" i="3"/>
  <c r="AA442" i="3"/>
  <c r="P442" i="3"/>
  <c r="Q442" i="3" s="1"/>
  <c r="R442" i="3" s="1"/>
  <c r="S442" i="3" s="1"/>
  <c r="Z442" i="3"/>
  <c r="T442" i="3" l="1"/>
  <c r="L441" i="3"/>
  <c r="U441" i="3" l="1"/>
  <c r="D442" i="3" s="1"/>
  <c r="AH442" i="3"/>
  <c r="AG442" i="3"/>
  <c r="Y440" i="3"/>
  <c r="G442" i="3" l="1"/>
  <c r="E442" i="3"/>
  <c r="H442" i="3" s="1"/>
  <c r="I442" i="3" l="1"/>
  <c r="J442" i="3"/>
  <c r="AD442" i="3" s="1"/>
  <c r="M442" i="3"/>
  <c r="N442" i="3" s="1"/>
  <c r="F442" i="3"/>
  <c r="K442" i="3"/>
  <c r="AE442" i="3" s="1"/>
  <c r="V442" i="3" l="1"/>
  <c r="W442" i="3" s="1"/>
  <c r="A443" i="3"/>
  <c r="B443" i="3" s="1"/>
  <c r="L442" i="3"/>
  <c r="U442" i="3" l="1"/>
  <c r="Y441" i="3"/>
  <c r="Z443" i="3"/>
  <c r="P443" i="3"/>
  <c r="Q443" i="3" s="1"/>
  <c r="R443" i="3" s="1"/>
  <c r="S443" i="3" s="1"/>
  <c r="AC443" i="3"/>
  <c r="AA443" i="3"/>
  <c r="T443" i="3" l="1"/>
  <c r="D443" i="3" s="1"/>
  <c r="E443" i="3" l="1"/>
  <c r="H443" i="3" s="1"/>
  <c r="K443" i="3" s="1"/>
  <c r="AE443" i="3" s="1"/>
  <c r="G443" i="3"/>
  <c r="AG443" i="3"/>
  <c r="AH443" i="3"/>
  <c r="F443" i="3" l="1"/>
  <c r="V443" i="3"/>
  <c r="A444" i="3"/>
  <c r="B444" i="3" s="1"/>
  <c r="I443" i="3"/>
  <c r="J443" i="3"/>
  <c r="AD443" i="3" s="1"/>
  <c r="M443" i="3"/>
  <c r="N443" i="3" s="1"/>
  <c r="W443" i="3" l="1"/>
  <c r="L443" i="3"/>
  <c r="Z444" i="3"/>
  <c r="P444" i="3"/>
  <c r="Q444" i="3" s="1"/>
  <c r="R444" i="3" s="1"/>
  <c r="S444" i="3" s="1"/>
  <c r="AA444" i="3"/>
  <c r="AC444" i="3"/>
  <c r="U443" i="3" l="1"/>
  <c r="Y442" i="3"/>
  <c r="T444" i="3"/>
  <c r="AG444" i="3" s="1"/>
  <c r="AH444" i="3" l="1"/>
  <c r="D444" i="3"/>
  <c r="E444" i="3"/>
  <c r="H444" i="3" s="1"/>
  <c r="F444" i="3" l="1"/>
  <c r="G444" i="3"/>
  <c r="K444" i="3"/>
  <c r="AE444" i="3" s="1"/>
  <c r="I444" i="3" l="1"/>
  <c r="J444" i="3"/>
  <c r="AD444" i="3" s="1"/>
  <c r="M444" i="3"/>
  <c r="N444" i="3" s="1"/>
  <c r="V444" i="3"/>
  <c r="A445" i="3"/>
  <c r="B445" i="3" s="1"/>
  <c r="W444" i="3" l="1"/>
  <c r="L444" i="3"/>
  <c r="AA445" i="3"/>
  <c r="P445" i="3"/>
  <c r="Q445" i="3" s="1"/>
  <c r="R445" i="3" s="1"/>
  <c r="S445" i="3" s="1"/>
  <c r="Z445" i="3"/>
  <c r="AC445" i="3"/>
  <c r="T445" i="3" l="1"/>
  <c r="U444" i="3"/>
  <c r="Y443" i="3"/>
  <c r="D445" i="3" l="1"/>
  <c r="G445" i="3" s="1"/>
  <c r="AG445" i="3"/>
  <c r="E445" i="3"/>
  <c r="H445" i="3" s="1"/>
  <c r="AH445" i="3"/>
  <c r="K445" i="3" l="1"/>
  <c r="AE445" i="3" s="1"/>
  <c r="I445" i="3"/>
  <c r="J445" i="3"/>
  <c r="AD445" i="3" s="1"/>
  <c r="M445" i="3"/>
  <c r="N445" i="3" s="1"/>
  <c r="F445" i="3"/>
  <c r="L445" i="3" l="1"/>
  <c r="V445" i="3"/>
  <c r="W445" i="3" s="1"/>
  <c r="A446" i="3"/>
  <c r="B446" i="3" s="1"/>
  <c r="AC446" i="3" l="1"/>
  <c r="P446" i="3"/>
  <c r="Q446" i="3" s="1"/>
  <c r="R446" i="3" s="1"/>
  <c r="S446" i="3" s="1"/>
  <c r="Z446" i="3"/>
  <c r="AA446" i="3"/>
  <c r="U445" i="3"/>
  <c r="Y444" i="3"/>
  <c r="T446" i="3" l="1"/>
  <c r="D446" i="3" s="1"/>
  <c r="AG446" i="3" l="1"/>
  <c r="G446" i="3"/>
  <c r="E446" i="3"/>
  <c r="H446" i="3" s="1"/>
  <c r="AH446" i="3"/>
  <c r="K446" i="3" l="1"/>
  <c r="AE446" i="3" s="1"/>
  <c r="F446" i="3"/>
  <c r="I446" i="3"/>
  <c r="J446" i="3"/>
  <c r="AD446" i="3" s="1"/>
  <c r="M446" i="3"/>
  <c r="N446" i="3" s="1"/>
  <c r="L446" i="3" l="1"/>
  <c r="V446" i="3"/>
  <c r="W446" i="3" s="1"/>
  <c r="A447" i="3"/>
  <c r="B447" i="3" s="1"/>
  <c r="Z447" i="3" l="1"/>
  <c r="P447" i="3"/>
  <c r="Q447" i="3" s="1"/>
  <c r="R447" i="3" s="1"/>
  <c r="S447" i="3" s="1"/>
  <c r="AC447" i="3"/>
  <c r="AA447" i="3"/>
  <c r="U446" i="3"/>
  <c r="Y445" i="3"/>
  <c r="T447" i="3" l="1"/>
  <c r="AG447" i="3" s="1"/>
  <c r="D447" i="3" l="1"/>
  <c r="G447" i="3" s="1"/>
  <c r="AH447" i="3"/>
  <c r="E447" i="3"/>
  <c r="H447" i="3" s="1"/>
  <c r="K447" i="3" s="1"/>
  <c r="AE447" i="3" s="1"/>
  <c r="F447" i="3" l="1"/>
  <c r="I447" i="3"/>
  <c r="J447" i="3"/>
  <c r="AD447" i="3" s="1"/>
  <c r="M447" i="3"/>
  <c r="N447" i="3" s="1"/>
  <c r="V447" i="3"/>
  <c r="A448" i="3"/>
  <c r="B448" i="3" s="1"/>
  <c r="W447" i="3" l="1"/>
  <c r="L447" i="3"/>
  <c r="Z448" i="3"/>
  <c r="AA448" i="3"/>
  <c r="P448" i="3"/>
  <c r="Q448" i="3" s="1"/>
  <c r="R448" i="3" s="1"/>
  <c r="S448" i="3" s="1"/>
  <c r="AC448" i="3"/>
  <c r="T448" i="3" l="1"/>
  <c r="AG448" i="3" s="1"/>
  <c r="U447" i="3"/>
  <c r="Y446" i="3"/>
  <c r="D448" i="3" l="1"/>
  <c r="G448" i="3" s="1"/>
  <c r="E448" i="3"/>
  <c r="H448" i="3" s="1"/>
  <c r="AH448" i="3"/>
  <c r="F448" i="3" l="1"/>
  <c r="I448" i="3"/>
  <c r="J448" i="3"/>
  <c r="AD448" i="3" s="1"/>
  <c r="M448" i="3"/>
  <c r="N448" i="3" s="1"/>
  <c r="K448" i="3"/>
  <c r="AE448" i="3" s="1"/>
  <c r="V448" i="3" l="1"/>
  <c r="W448" i="3" s="1"/>
  <c r="A449" i="3"/>
  <c r="B449" i="3" s="1"/>
  <c r="L448" i="3"/>
  <c r="U448" i="3" l="1"/>
  <c r="Y447" i="3"/>
  <c r="P449" i="3"/>
  <c r="Q449" i="3" s="1"/>
  <c r="R449" i="3" s="1"/>
  <c r="S449" i="3" s="1"/>
  <c r="AA449" i="3"/>
  <c r="Z449" i="3"/>
  <c r="AC449" i="3"/>
  <c r="T449" i="3" l="1"/>
  <c r="D449" i="3" s="1"/>
  <c r="G449" i="3" l="1"/>
  <c r="AG449" i="3"/>
  <c r="AH449" i="3"/>
  <c r="E449" i="3"/>
  <c r="H449" i="3" s="1"/>
  <c r="K449" i="3" l="1"/>
  <c r="AE449" i="3" s="1"/>
  <c r="F449" i="3"/>
  <c r="I449" i="3"/>
  <c r="J449" i="3"/>
  <c r="AD449" i="3" s="1"/>
  <c r="M449" i="3"/>
  <c r="N449" i="3" s="1"/>
  <c r="L449" i="3" l="1"/>
  <c r="V449" i="3"/>
  <c r="W449" i="3" s="1"/>
  <c r="A450" i="3"/>
  <c r="B450" i="3" s="1"/>
  <c r="P450" i="3" l="1"/>
  <c r="Q450" i="3" s="1"/>
  <c r="R450" i="3" s="1"/>
  <c r="S450" i="3" s="1"/>
  <c r="Z450" i="3"/>
  <c r="AC450" i="3"/>
  <c r="AA450" i="3"/>
  <c r="U449" i="3"/>
  <c r="Y448" i="3"/>
  <c r="T450" i="3" l="1"/>
  <c r="D450" i="3" s="1"/>
  <c r="AH450" i="3" l="1"/>
  <c r="G450" i="3"/>
  <c r="E450" i="3"/>
  <c r="H450" i="3" s="1"/>
  <c r="AG450" i="3"/>
  <c r="F450" i="3" l="1"/>
  <c r="I450" i="3"/>
  <c r="J450" i="3"/>
  <c r="AD450" i="3" s="1"/>
  <c r="M450" i="3"/>
  <c r="N450" i="3" s="1"/>
  <c r="K450" i="3"/>
  <c r="AE450" i="3" s="1"/>
  <c r="V450" i="3" l="1"/>
  <c r="W450" i="3" s="1"/>
  <c r="A451" i="3"/>
  <c r="B451" i="3" s="1"/>
  <c r="L450" i="3"/>
  <c r="U450" i="3" l="1"/>
  <c r="Y449" i="3"/>
  <c r="P451" i="3"/>
  <c r="Q451" i="3" s="1"/>
  <c r="R451" i="3" s="1"/>
  <c r="S451" i="3" s="1"/>
  <c r="Z451" i="3"/>
  <c r="AA451" i="3"/>
  <c r="AC451" i="3"/>
  <c r="T451" i="3" l="1"/>
  <c r="AG451" i="3" s="1"/>
  <c r="E451" i="3" l="1"/>
  <c r="H451" i="3" s="1"/>
  <c r="K451" i="3" s="1"/>
  <c r="AE451" i="3" s="1"/>
  <c r="AH451" i="3"/>
  <c r="D451" i="3"/>
  <c r="V451" i="3" l="1"/>
  <c r="A452" i="3"/>
  <c r="B452" i="3" s="1"/>
  <c r="F451" i="3"/>
  <c r="G451" i="3"/>
  <c r="I451" i="3" l="1"/>
  <c r="W451" i="3" s="1"/>
  <c r="J451" i="3"/>
  <c r="AD451" i="3" s="1"/>
  <c r="M451" i="3"/>
  <c r="N451" i="3" s="1"/>
  <c r="AA452" i="3"/>
  <c r="P452" i="3"/>
  <c r="Q452" i="3" s="1"/>
  <c r="R452" i="3" s="1"/>
  <c r="S452" i="3" s="1"/>
  <c r="AC452" i="3"/>
  <c r="Z452" i="3"/>
  <c r="AD452" i="3"/>
  <c r="T452" i="3" l="1"/>
  <c r="L451" i="3"/>
  <c r="U451" i="3" l="1"/>
  <c r="D452" i="3" s="1"/>
  <c r="AH452" i="3"/>
  <c r="AG452" i="3"/>
  <c r="Y450" i="3"/>
  <c r="E452" i="3" l="1"/>
  <c r="H452" i="3" s="1"/>
  <c r="K452" i="3" s="1"/>
  <c r="AE452" i="3" s="1"/>
  <c r="G452" i="3"/>
  <c r="F452" i="3" l="1"/>
  <c r="I452" i="3"/>
  <c r="J452" i="3"/>
  <c r="M452" i="3"/>
  <c r="N452" i="3" s="1"/>
  <c r="V452" i="3"/>
  <c r="A453" i="3"/>
  <c r="B453" i="3" s="1"/>
  <c r="W452" i="3" l="1"/>
  <c r="L452" i="3"/>
  <c r="AA453" i="3"/>
  <c r="P453" i="3"/>
  <c r="Q453" i="3" s="1"/>
  <c r="R453" i="3" s="1"/>
  <c r="S453" i="3" s="1"/>
  <c r="AC453" i="3"/>
  <c r="AD453" i="3"/>
  <c r="Z453" i="3"/>
  <c r="U452" i="3" l="1"/>
  <c r="Y451" i="3"/>
  <c r="T453" i="3"/>
  <c r="AH453" i="3" s="1"/>
  <c r="AG453" i="3" l="1"/>
  <c r="E453" i="3"/>
  <c r="H453" i="3" s="1"/>
  <c r="D453" i="3"/>
  <c r="K453" i="3" l="1"/>
  <c r="AE453" i="3" s="1"/>
  <c r="F453" i="3"/>
  <c r="G453" i="3"/>
  <c r="I453" i="3" l="1"/>
  <c r="J453" i="3"/>
  <c r="M453" i="3"/>
  <c r="N453" i="3" s="1"/>
  <c r="V453" i="3"/>
  <c r="A454" i="3"/>
  <c r="B454" i="3" s="1"/>
  <c r="W453" i="3" l="1"/>
  <c r="AA454" i="3"/>
  <c r="AC454" i="3"/>
  <c r="Z454" i="3"/>
  <c r="P454" i="3"/>
  <c r="Q454" i="3" s="1"/>
  <c r="R454" i="3" s="1"/>
  <c r="S454" i="3" s="1"/>
  <c r="L453" i="3"/>
  <c r="U453" i="3" l="1"/>
  <c r="Y452" i="3"/>
  <c r="T454" i="3"/>
  <c r="E454" i="3" l="1"/>
  <c r="H454" i="3" s="1"/>
  <c r="K454" i="3" s="1"/>
  <c r="AE454" i="3" s="1"/>
  <c r="AH454" i="3"/>
  <c r="AG454" i="3"/>
  <c r="D454" i="3"/>
  <c r="F454" i="3" l="1"/>
  <c r="G454" i="3"/>
  <c r="V454" i="3"/>
  <c r="A455" i="3"/>
  <c r="B455" i="3" s="1"/>
  <c r="AC455" i="3" l="1"/>
  <c r="AD455" i="3"/>
  <c r="AA455" i="3"/>
  <c r="Z455" i="3"/>
  <c r="P455" i="3"/>
  <c r="Q455" i="3" s="1"/>
  <c r="R455" i="3" s="1"/>
  <c r="S455" i="3" s="1"/>
  <c r="I454" i="3"/>
  <c r="W454" i="3" s="1"/>
  <c r="J454" i="3"/>
  <c r="AD454" i="3" s="1"/>
  <c r="M454" i="3"/>
  <c r="N454" i="3" s="1"/>
  <c r="L454" i="3" l="1"/>
  <c r="T455" i="3"/>
  <c r="AH455" i="3" l="1"/>
  <c r="U454" i="3"/>
  <c r="D455" i="3" s="1"/>
  <c r="AG455" i="3"/>
  <c r="Y453" i="3"/>
  <c r="E455" i="3" l="1"/>
  <c r="H455" i="3" s="1"/>
  <c r="K455" i="3" s="1"/>
  <c r="AE455" i="3" s="1"/>
  <c r="G455" i="3"/>
  <c r="F455" i="3" l="1"/>
  <c r="I455" i="3"/>
  <c r="J455" i="3"/>
  <c r="M455" i="3"/>
  <c r="N455" i="3" s="1"/>
  <c r="V455" i="3"/>
  <c r="A456" i="3"/>
  <c r="B456" i="3" s="1"/>
  <c r="W455" i="3" l="1"/>
  <c r="L455" i="3"/>
  <c r="AC456" i="3"/>
  <c r="P456" i="3"/>
  <c r="Q456" i="3" s="1"/>
  <c r="R456" i="3" s="1"/>
  <c r="S456" i="3" s="1"/>
  <c r="AD456" i="3"/>
  <c r="Z456" i="3"/>
  <c r="AA456" i="3"/>
  <c r="U455" i="3" l="1"/>
  <c r="Y454" i="3"/>
  <c r="T456" i="3"/>
  <c r="AG456" i="3" s="1"/>
  <c r="D456" i="3" l="1"/>
  <c r="G456" i="3" s="1"/>
  <c r="AH456" i="3"/>
  <c r="E456" i="3"/>
  <c r="H456" i="3" s="1"/>
  <c r="I456" i="3" l="1"/>
  <c r="J456" i="3"/>
  <c r="M456" i="3"/>
  <c r="N456" i="3" s="1"/>
  <c r="K456" i="3"/>
  <c r="AE456" i="3" s="1"/>
  <c r="F456" i="3"/>
  <c r="V456" i="3" l="1"/>
  <c r="W456" i="3" s="1"/>
  <c r="A457" i="3"/>
  <c r="B457" i="3" s="1"/>
  <c r="L456" i="3"/>
  <c r="Z457" i="3" l="1"/>
  <c r="AC457" i="3"/>
  <c r="P457" i="3"/>
  <c r="Q457" i="3" s="1"/>
  <c r="R457" i="3" s="1"/>
  <c r="S457" i="3" s="1"/>
  <c r="AA457" i="3"/>
  <c r="U456" i="3"/>
  <c r="Y455" i="3"/>
  <c r="T457" i="3" l="1"/>
  <c r="D457" i="3" l="1"/>
  <c r="AH457" i="3"/>
  <c r="E457" i="3"/>
  <c r="H457" i="3" s="1"/>
  <c r="AG457" i="3"/>
  <c r="F457" i="3" l="1"/>
  <c r="G457" i="3"/>
  <c r="K457" i="3"/>
  <c r="AE457" i="3" s="1"/>
  <c r="I457" i="3" l="1"/>
  <c r="J457" i="3"/>
  <c r="AD457" i="3" s="1"/>
  <c r="M457" i="3"/>
  <c r="N457" i="3" s="1"/>
  <c r="V457" i="3"/>
  <c r="A458" i="3"/>
  <c r="B458" i="3" s="1"/>
  <c r="L457" i="3" l="1"/>
  <c r="W457" i="3"/>
  <c r="P458" i="3"/>
  <c r="Q458" i="3" s="1"/>
  <c r="R458" i="3" s="1"/>
  <c r="S458" i="3" s="1"/>
  <c r="AC458" i="3"/>
  <c r="Z458" i="3"/>
  <c r="AD458" i="3"/>
  <c r="AA458" i="3"/>
  <c r="U457" i="3" l="1"/>
  <c r="Y456" i="3"/>
  <c r="T458" i="3"/>
  <c r="AH458" i="3" s="1"/>
  <c r="AG458" i="3" l="1"/>
  <c r="E458" i="3"/>
  <c r="H458" i="3" s="1"/>
  <c r="D458" i="3"/>
  <c r="K458" i="3" l="1"/>
  <c r="AE458" i="3" s="1"/>
  <c r="F458" i="3"/>
  <c r="G458" i="3"/>
  <c r="V458" i="3" l="1"/>
  <c r="A459" i="3"/>
  <c r="B459" i="3" s="1"/>
  <c r="I458" i="3"/>
  <c r="J458" i="3"/>
  <c r="M458" i="3"/>
  <c r="N458" i="3" s="1"/>
  <c r="W458" i="3" l="1"/>
  <c r="L458" i="3"/>
  <c r="Z459" i="3"/>
  <c r="P459" i="3"/>
  <c r="Q459" i="3" s="1"/>
  <c r="R459" i="3" s="1"/>
  <c r="S459" i="3" s="1"/>
  <c r="AA459" i="3"/>
  <c r="AD459" i="3"/>
  <c r="AC459" i="3"/>
  <c r="T459" i="3" l="1"/>
  <c r="AH459" i="3" s="1"/>
  <c r="U458" i="3"/>
  <c r="Y457" i="3"/>
  <c r="AG459" i="3" l="1"/>
  <c r="D459" i="3"/>
  <c r="E459" i="3"/>
  <c r="H459" i="3" s="1"/>
  <c r="K459" i="3" l="1"/>
  <c r="AE459" i="3" s="1"/>
  <c r="F459" i="3"/>
  <c r="G459" i="3"/>
  <c r="I459" i="3" l="1"/>
  <c r="J459" i="3"/>
  <c r="M459" i="3"/>
  <c r="N459" i="3" s="1"/>
  <c r="V459" i="3"/>
  <c r="A460" i="3"/>
  <c r="B460" i="3" s="1"/>
  <c r="W459" i="3" l="1"/>
  <c r="L459" i="3"/>
  <c r="P460" i="3"/>
  <c r="Q460" i="3" s="1"/>
  <c r="R460" i="3" s="1"/>
  <c r="S460" i="3" s="1"/>
  <c r="AD460" i="3"/>
  <c r="Z460" i="3"/>
  <c r="AA460" i="3"/>
  <c r="AC460" i="3"/>
  <c r="U459" i="3" l="1"/>
  <c r="Y458" i="3"/>
  <c r="T460" i="3"/>
  <c r="D460" i="3" l="1"/>
  <c r="G460" i="3" s="1"/>
  <c r="AH460" i="3"/>
  <c r="E460" i="3"/>
  <c r="H460" i="3" s="1"/>
  <c r="AG460" i="3"/>
  <c r="F460" i="3" l="1"/>
  <c r="I460" i="3"/>
  <c r="J460" i="3"/>
  <c r="M460" i="3"/>
  <c r="N460" i="3" s="1"/>
  <c r="K460" i="3"/>
  <c r="AE460" i="3" s="1"/>
  <c r="V460" i="3" l="1"/>
  <c r="W460" i="3" s="1"/>
  <c r="A461" i="3"/>
  <c r="B461" i="3" s="1"/>
  <c r="L460" i="3"/>
  <c r="U460" i="3" l="1"/>
  <c r="Y459" i="3"/>
  <c r="AC461" i="3"/>
  <c r="Z461" i="3"/>
  <c r="P461" i="3"/>
  <c r="Q461" i="3" s="1"/>
  <c r="R461" i="3" s="1"/>
  <c r="S461" i="3" s="1"/>
  <c r="AA461" i="3"/>
  <c r="T461" i="3" l="1"/>
  <c r="D461" i="3" s="1"/>
  <c r="AG461" i="3" l="1"/>
  <c r="G461" i="3"/>
  <c r="AH461" i="3"/>
  <c r="E461" i="3"/>
  <c r="H461" i="3" s="1"/>
  <c r="F461" i="3" l="1"/>
  <c r="I461" i="3"/>
  <c r="J461" i="3"/>
  <c r="AD461" i="3" s="1"/>
  <c r="M461" i="3"/>
  <c r="N461" i="3" s="1"/>
  <c r="K461" i="3"/>
  <c r="AE461" i="3" s="1"/>
  <c r="V461" i="3" l="1"/>
  <c r="W461" i="3" s="1"/>
  <c r="A462" i="3"/>
  <c r="B462" i="3" s="1"/>
  <c r="L461" i="3"/>
  <c r="U461" i="3" l="1"/>
  <c r="Y460" i="3"/>
  <c r="Z462" i="3"/>
  <c r="P462" i="3"/>
  <c r="Q462" i="3" s="1"/>
  <c r="R462" i="3" s="1"/>
  <c r="S462" i="3" s="1"/>
  <c r="AD462" i="3"/>
  <c r="AA462" i="3"/>
  <c r="AC462" i="3"/>
  <c r="T462" i="3" l="1"/>
  <c r="E462" i="3" s="1"/>
  <c r="H462" i="3" s="1"/>
  <c r="AG462" i="3" l="1"/>
  <c r="AH462" i="3"/>
  <c r="D462" i="3"/>
  <c r="G462" i="3" s="1"/>
  <c r="K462" i="3"/>
  <c r="AE462" i="3" s="1"/>
  <c r="F462" i="3" l="1"/>
  <c r="V462" i="3"/>
  <c r="A463" i="3"/>
  <c r="B463" i="3" s="1"/>
  <c r="I462" i="3"/>
  <c r="J462" i="3"/>
  <c r="M462" i="3"/>
  <c r="N462" i="3" s="1"/>
  <c r="W462" i="3" l="1"/>
  <c r="L462" i="3"/>
  <c r="P463" i="3"/>
  <c r="Q463" i="3" s="1"/>
  <c r="R463" i="3" s="1"/>
  <c r="S463" i="3" s="1"/>
  <c r="AC463" i="3"/>
  <c r="Z463" i="3"/>
  <c r="AA463" i="3"/>
  <c r="AD463" i="3"/>
  <c r="U462" i="3" l="1"/>
  <c r="Y461" i="3"/>
  <c r="T463" i="3"/>
  <c r="AH463" i="3" s="1"/>
  <c r="AG463" i="3" l="1"/>
  <c r="D463" i="3"/>
  <c r="E463" i="3"/>
  <c r="H463" i="3" s="1"/>
  <c r="F463" i="3" l="1"/>
  <c r="G463" i="3"/>
  <c r="K463" i="3"/>
  <c r="AE463" i="3" s="1"/>
  <c r="V463" i="3" l="1"/>
  <c r="A464" i="3"/>
  <c r="B464" i="3" s="1"/>
  <c r="I463" i="3"/>
  <c r="J463" i="3"/>
  <c r="M463" i="3"/>
  <c r="N463" i="3" s="1"/>
  <c r="W463" i="3" l="1"/>
  <c r="L463" i="3"/>
  <c r="Z464" i="3"/>
  <c r="AC464" i="3"/>
  <c r="P464" i="3"/>
  <c r="Q464" i="3" s="1"/>
  <c r="R464" i="3" s="1"/>
  <c r="S464" i="3" s="1"/>
  <c r="AA464" i="3"/>
  <c r="T464" i="3" l="1"/>
  <c r="AG464" i="3" s="1"/>
  <c r="U463" i="3"/>
  <c r="Y462" i="3"/>
  <c r="AH464" i="3" l="1"/>
  <c r="D464" i="3"/>
  <c r="E464" i="3"/>
  <c r="H464" i="3" s="1"/>
  <c r="K464" i="3" l="1"/>
  <c r="AE464" i="3" s="1"/>
  <c r="F464" i="3"/>
  <c r="G464" i="3"/>
  <c r="I464" i="3" l="1"/>
  <c r="J464" i="3"/>
  <c r="AD464" i="3" s="1"/>
  <c r="M464" i="3"/>
  <c r="N464" i="3" s="1"/>
  <c r="V464" i="3"/>
  <c r="A465" i="3"/>
  <c r="B465" i="3" s="1"/>
  <c r="W464" i="3" l="1"/>
  <c r="L464" i="3"/>
  <c r="Z465" i="3"/>
  <c r="P465" i="3"/>
  <c r="Q465" i="3" s="1"/>
  <c r="R465" i="3" s="1"/>
  <c r="S465" i="3" s="1"/>
  <c r="AC465" i="3"/>
  <c r="AA465" i="3"/>
  <c r="AD465" i="3"/>
  <c r="T465" i="3" l="1"/>
  <c r="AH465" i="3" s="1"/>
  <c r="U464" i="3"/>
  <c r="Y463" i="3"/>
  <c r="D465" i="3" l="1"/>
  <c r="G465" i="3" s="1"/>
  <c r="E465" i="3"/>
  <c r="H465" i="3" s="1"/>
  <c r="AG465" i="3"/>
  <c r="F465" i="3" l="1"/>
  <c r="I465" i="3"/>
  <c r="J465" i="3"/>
  <c r="M465" i="3"/>
  <c r="N465" i="3" s="1"/>
  <c r="K465" i="3"/>
  <c r="AE465" i="3" s="1"/>
  <c r="V465" i="3" l="1"/>
  <c r="W465" i="3" s="1"/>
  <c r="A466" i="3"/>
  <c r="B466" i="3" s="1"/>
  <c r="L465" i="3"/>
  <c r="U465" i="3" l="1"/>
  <c r="Y464" i="3"/>
  <c r="AA466" i="3"/>
  <c r="AD466" i="3"/>
  <c r="AC466" i="3"/>
  <c r="Z466" i="3"/>
  <c r="P466" i="3"/>
  <c r="Q466" i="3" s="1"/>
  <c r="R466" i="3" s="1"/>
  <c r="S466" i="3" s="1"/>
  <c r="T466" i="3" l="1"/>
  <c r="AH466" i="3" s="1"/>
  <c r="AG466" i="3" l="1"/>
  <c r="E466" i="3"/>
  <c r="H466" i="3" s="1"/>
  <c r="K466" i="3" s="1"/>
  <c r="AE466" i="3" s="1"/>
  <c r="D466" i="3"/>
  <c r="G466" i="3" s="1"/>
  <c r="F466" i="3" l="1"/>
  <c r="I466" i="3"/>
  <c r="J466" i="3"/>
  <c r="M466" i="3"/>
  <c r="N466" i="3" s="1"/>
  <c r="V466" i="3"/>
  <c r="A467" i="3"/>
  <c r="B467" i="3" s="1"/>
  <c r="W466" i="3" l="1"/>
  <c r="L466" i="3"/>
  <c r="P467" i="3"/>
  <c r="Q467" i="3" s="1"/>
  <c r="R467" i="3" s="1"/>
  <c r="S467" i="3" s="1"/>
  <c r="AA467" i="3"/>
  <c r="Z467" i="3"/>
  <c r="AC467" i="3"/>
  <c r="U466" i="3" l="1"/>
  <c r="Y465" i="3"/>
  <c r="T467" i="3"/>
  <c r="E467" i="3" l="1"/>
  <c r="H467" i="3" s="1"/>
  <c r="K467" i="3" s="1"/>
  <c r="AE467" i="3" s="1"/>
  <c r="AG467" i="3"/>
  <c r="D467" i="3"/>
  <c r="AH467" i="3"/>
  <c r="F467" i="3" l="1"/>
  <c r="G467" i="3"/>
  <c r="V467" i="3"/>
  <c r="A468" i="3"/>
  <c r="B468" i="3" s="1"/>
  <c r="AC468" i="3" l="1"/>
  <c r="Z468" i="3"/>
  <c r="P468" i="3"/>
  <c r="Q468" i="3" s="1"/>
  <c r="R468" i="3" s="1"/>
  <c r="S468" i="3" s="1"/>
  <c r="AA468" i="3"/>
  <c r="AD468" i="3"/>
  <c r="I467" i="3"/>
  <c r="W467" i="3" s="1"/>
  <c r="J467" i="3"/>
  <c r="AD467" i="3" s="1"/>
  <c r="M467" i="3"/>
  <c r="N467" i="3" s="1"/>
  <c r="L467" i="3" l="1"/>
  <c r="T468" i="3"/>
  <c r="U467" i="3" l="1"/>
  <c r="D468" i="3" s="1"/>
  <c r="AH468" i="3"/>
  <c r="AG468" i="3"/>
  <c r="Y466" i="3"/>
  <c r="E468" i="3" l="1"/>
  <c r="H468" i="3" s="1"/>
  <c r="K468" i="3" s="1"/>
  <c r="AE468" i="3" s="1"/>
  <c r="G468" i="3"/>
  <c r="F468" i="3" l="1"/>
  <c r="I468" i="3"/>
  <c r="J468" i="3"/>
  <c r="M468" i="3"/>
  <c r="N468" i="3" s="1"/>
  <c r="V468" i="3"/>
  <c r="A469" i="3"/>
  <c r="B469" i="3" s="1"/>
  <c r="W468" i="3" l="1"/>
  <c r="L468" i="3"/>
  <c r="AD469" i="3"/>
  <c r="AA469" i="3"/>
  <c r="P469" i="3"/>
  <c r="Q469" i="3" s="1"/>
  <c r="R469" i="3" s="1"/>
  <c r="S469" i="3" s="1"/>
  <c r="Z469" i="3"/>
  <c r="AC469" i="3"/>
  <c r="U468" i="3" l="1"/>
  <c r="Y467" i="3"/>
  <c r="T469" i="3"/>
  <c r="AG469" i="3" s="1"/>
  <c r="D469" i="3" l="1"/>
  <c r="G469" i="3" s="1"/>
  <c r="AH469" i="3"/>
  <c r="E469" i="3"/>
  <c r="H469" i="3" s="1"/>
  <c r="K469" i="3" s="1"/>
  <c r="AE469" i="3" s="1"/>
  <c r="F469" i="3" l="1"/>
  <c r="I469" i="3"/>
  <c r="J469" i="3"/>
  <c r="M469" i="3"/>
  <c r="N469" i="3" s="1"/>
  <c r="V469" i="3"/>
  <c r="A470" i="3"/>
  <c r="B470" i="3" s="1"/>
  <c r="W469" i="3" l="1"/>
  <c r="L469" i="3"/>
  <c r="AC470" i="3"/>
  <c r="P470" i="3"/>
  <c r="Q470" i="3" s="1"/>
  <c r="R470" i="3" s="1"/>
  <c r="S470" i="3" s="1"/>
  <c r="AA470" i="3"/>
  <c r="Z470" i="3"/>
  <c r="AD470" i="3"/>
  <c r="U469" i="3" l="1"/>
  <c r="Y468" i="3"/>
  <c r="T470" i="3"/>
  <c r="D470" i="3" l="1"/>
  <c r="G470" i="3" s="1"/>
  <c r="AH470" i="3"/>
  <c r="AG470" i="3"/>
  <c r="E470" i="3"/>
  <c r="H470" i="3" s="1"/>
  <c r="K470" i="3" l="1"/>
  <c r="AE470" i="3" s="1"/>
  <c r="F470" i="3"/>
  <c r="I470" i="3"/>
  <c r="J470" i="3"/>
  <c r="M470" i="3"/>
  <c r="N470" i="3" s="1"/>
  <c r="V470" i="3" l="1"/>
  <c r="W470" i="3" s="1"/>
  <c r="A471" i="3"/>
  <c r="B471" i="3" s="1"/>
  <c r="L470" i="3"/>
  <c r="U470" i="3" l="1"/>
  <c r="Y469" i="3"/>
  <c r="Z471" i="3"/>
  <c r="AA471" i="3"/>
  <c r="AC471" i="3"/>
  <c r="P471" i="3"/>
  <c r="Q471" i="3" s="1"/>
  <c r="R471" i="3" s="1"/>
  <c r="S471" i="3" s="1"/>
  <c r="T471" i="3" l="1"/>
  <c r="AH471" i="3" s="1"/>
  <c r="AG471" i="3" l="1"/>
  <c r="E471" i="3"/>
  <c r="H471" i="3" s="1"/>
  <c r="D471" i="3"/>
  <c r="F471" i="3" l="1"/>
  <c r="G471" i="3"/>
  <c r="K471" i="3"/>
  <c r="AE471" i="3" s="1"/>
  <c r="V471" i="3" l="1"/>
  <c r="A472" i="3"/>
  <c r="B472" i="3" s="1"/>
  <c r="I471" i="3"/>
  <c r="J471" i="3"/>
  <c r="AD471" i="3" s="1"/>
  <c r="M471" i="3"/>
  <c r="N471" i="3" s="1"/>
  <c r="W471" i="3" l="1"/>
  <c r="L471" i="3"/>
  <c r="Z472" i="3"/>
  <c r="AA472" i="3"/>
  <c r="P472" i="3"/>
  <c r="Q472" i="3" s="1"/>
  <c r="R472" i="3" s="1"/>
  <c r="S472" i="3" s="1"/>
  <c r="AD472" i="3"/>
  <c r="AC472" i="3"/>
  <c r="U471" i="3" l="1"/>
  <c r="Y470" i="3"/>
  <c r="T472" i="3"/>
  <c r="E472" i="3" l="1"/>
  <c r="H472" i="3" s="1"/>
  <c r="K472" i="3" s="1"/>
  <c r="AE472" i="3" s="1"/>
  <c r="AG472" i="3"/>
  <c r="AH472" i="3"/>
  <c r="D472" i="3"/>
  <c r="V472" i="3" l="1"/>
  <c r="A473" i="3"/>
  <c r="B473" i="3" s="1"/>
  <c r="F472" i="3"/>
  <c r="G472" i="3"/>
  <c r="I472" i="3" l="1"/>
  <c r="W472" i="3" s="1"/>
  <c r="J472" i="3"/>
  <c r="M472" i="3"/>
  <c r="N472" i="3" s="1"/>
  <c r="AC473" i="3"/>
  <c r="P473" i="3"/>
  <c r="Q473" i="3" s="1"/>
  <c r="R473" i="3" s="1"/>
  <c r="S473" i="3" s="1"/>
  <c r="AD473" i="3"/>
  <c r="Z473" i="3"/>
  <c r="AA473" i="3"/>
  <c r="L472" i="3" l="1"/>
  <c r="T473" i="3"/>
  <c r="U472" i="3" l="1"/>
  <c r="D473" i="3" s="1"/>
  <c r="AH473" i="3"/>
  <c r="AG473" i="3"/>
  <c r="Y471" i="3"/>
  <c r="G473" i="3" l="1"/>
  <c r="E473" i="3"/>
  <c r="H473" i="3" s="1"/>
  <c r="F473" i="3" l="1"/>
  <c r="I473" i="3"/>
  <c r="J473" i="3"/>
  <c r="M473" i="3"/>
  <c r="N473" i="3" s="1"/>
  <c r="K473" i="3"/>
  <c r="AE473" i="3" s="1"/>
  <c r="V473" i="3" l="1"/>
  <c r="W473" i="3" s="1"/>
  <c r="A474" i="3"/>
  <c r="B474" i="3" s="1"/>
  <c r="L473" i="3"/>
  <c r="U473" i="3" l="1"/>
  <c r="Y472" i="3"/>
  <c r="P474" i="3"/>
  <c r="Q474" i="3" s="1"/>
  <c r="R474" i="3" s="1"/>
  <c r="S474" i="3" s="1"/>
  <c r="Z474" i="3"/>
  <c r="AA474" i="3"/>
  <c r="AC474" i="3"/>
  <c r="T474" i="3" l="1"/>
  <c r="D474" i="3" s="1"/>
  <c r="AG474" i="3" l="1"/>
  <c r="AH474" i="3"/>
  <c r="G474" i="3"/>
  <c r="E474" i="3"/>
  <c r="H474" i="3" s="1"/>
  <c r="I474" i="3" l="1"/>
  <c r="J474" i="3"/>
  <c r="AD474" i="3" s="1"/>
  <c r="M474" i="3"/>
  <c r="N474" i="3" s="1"/>
  <c r="F474" i="3"/>
  <c r="K474" i="3"/>
  <c r="AE474" i="3" s="1"/>
  <c r="V474" i="3" l="1"/>
  <c r="W474" i="3" s="1"/>
  <c r="A475" i="3"/>
  <c r="B475" i="3" s="1"/>
  <c r="L474" i="3"/>
  <c r="U474" i="3" l="1"/>
  <c r="Y473" i="3"/>
  <c r="AC475" i="3"/>
  <c r="Z475" i="3"/>
  <c r="P475" i="3"/>
  <c r="Q475" i="3" s="1"/>
  <c r="R475" i="3" s="1"/>
  <c r="S475" i="3" s="1"/>
  <c r="AD475" i="3"/>
  <c r="AA475" i="3"/>
  <c r="T475" i="3" l="1"/>
  <c r="AG475" i="3" s="1"/>
  <c r="AH475" i="3" l="1"/>
  <c r="E475" i="3"/>
  <c r="H475" i="3" s="1"/>
  <c r="K475" i="3" s="1"/>
  <c r="AE475" i="3" s="1"/>
  <c r="D475" i="3"/>
  <c r="F475" i="3" l="1"/>
  <c r="G475" i="3"/>
  <c r="M475" i="3" s="1"/>
  <c r="N475" i="3" s="1"/>
  <c r="V475" i="3"/>
  <c r="A476" i="3"/>
  <c r="B476" i="3" s="1"/>
  <c r="I475" i="3" l="1"/>
  <c r="W475" i="3" s="1"/>
  <c r="J475" i="3"/>
  <c r="L475" i="3" s="1"/>
  <c r="P476" i="3"/>
  <c r="Q476" i="3" s="1"/>
  <c r="R476" i="3" s="1"/>
  <c r="S476" i="3" s="1"/>
  <c r="AA476" i="3"/>
  <c r="AD476" i="3"/>
  <c r="Z476" i="3"/>
  <c r="AC476" i="3"/>
  <c r="U475" i="3" l="1"/>
  <c r="Y474" i="3"/>
  <c r="T476" i="3"/>
  <c r="AG476" i="3" s="1"/>
  <c r="D476" i="3" l="1"/>
  <c r="G476" i="3" s="1"/>
  <c r="E476" i="3"/>
  <c r="H476" i="3" s="1"/>
  <c r="K476" i="3" s="1"/>
  <c r="AE476" i="3" s="1"/>
  <c r="AH476" i="3"/>
  <c r="F476" i="3" l="1"/>
  <c r="V476" i="3"/>
  <c r="A477" i="3"/>
  <c r="B477" i="3" s="1"/>
  <c r="I476" i="3"/>
  <c r="J476" i="3"/>
  <c r="M476" i="3"/>
  <c r="N476" i="3" s="1"/>
  <c r="W476" i="3" l="1"/>
  <c r="L476" i="3"/>
  <c r="AA477" i="3"/>
  <c r="P477" i="3"/>
  <c r="Q477" i="3" s="1"/>
  <c r="R477" i="3" s="1"/>
  <c r="S477" i="3" s="1"/>
  <c r="AC477" i="3"/>
  <c r="Z477" i="3"/>
  <c r="U476" i="3" l="1"/>
  <c r="Y475" i="3"/>
  <c r="T477" i="3"/>
  <c r="D477" i="3" l="1"/>
  <c r="G477" i="3" s="1"/>
  <c r="AG477" i="3"/>
  <c r="E477" i="3"/>
  <c r="H477" i="3" s="1"/>
  <c r="K477" i="3" s="1"/>
  <c r="AE477" i="3" s="1"/>
  <c r="AH477" i="3"/>
  <c r="F477" i="3" l="1"/>
  <c r="V477" i="3"/>
  <c r="A478" i="3"/>
  <c r="B478" i="3" s="1"/>
  <c r="I477" i="3"/>
  <c r="J477" i="3"/>
  <c r="AD477" i="3" s="1"/>
  <c r="M477" i="3"/>
  <c r="N477" i="3" s="1"/>
  <c r="W477" i="3" l="1"/>
  <c r="L477" i="3"/>
  <c r="AA478" i="3"/>
  <c r="AD478" i="3"/>
  <c r="P478" i="3"/>
  <c r="Q478" i="3" s="1"/>
  <c r="R478" i="3" s="1"/>
  <c r="S478" i="3" s="1"/>
  <c r="AC478" i="3"/>
  <c r="Z478" i="3"/>
  <c r="T478" i="3" l="1"/>
  <c r="U477" i="3"/>
  <c r="Y476" i="3"/>
  <c r="E478" i="3" l="1"/>
  <c r="H478" i="3" s="1"/>
  <c r="K478" i="3" s="1"/>
  <c r="AE478" i="3" s="1"/>
  <c r="AG478" i="3"/>
  <c r="AH478" i="3"/>
  <c r="D478" i="3"/>
  <c r="F478" i="3" l="1"/>
  <c r="G478" i="3"/>
  <c r="V478" i="3"/>
  <c r="A479" i="3"/>
  <c r="B479" i="3" s="1"/>
  <c r="I478" i="3" l="1"/>
  <c r="W478" i="3" s="1"/>
  <c r="J478" i="3"/>
  <c r="M478" i="3"/>
  <c r="N478" i="3" s="1"/>
  <c r="P479" i="3"/>
  <c r="Q479" i="3" s="1"/>
  <c r="R479" i="3" s="1"/>
  <c r="S479" i="3" s="1"/>
  <c r="AD479" i="3"/>
  <c r="AC479" i="3"/>
  <c r="AA479" i="3"/>
  <c r="Z479" i="3"/>
  <c r="T479" i="3" l="1"/>
  <c r="L478" i="3"/>
  <c r="U478" i="3" l="1"/>
  <c r="E479" i="3" s="1"/>
  <c r="H479" i="3" s="1"/>
  <c r="AH479" i="3"/>
  <c r="AG479" i="3"/>
  <c r="Y477" i="3"/>
  <c r="D479" i="3" l="1"/>
  <c r="G479" i="3" s="1"/>
  <c r="K479" i="3"/>
  <c r="AE479" i="3" s="1"/>
  <c r="F479" i="3" l="1"/>
  <c r="I479" i="3"/>
  <c r="J479" i="3"/>
  <c r="M479" i="3"/>
  <c r="N479" i="3" s="1"/>
  <c r="V479" i="3"/>
  <c r="A480" i="3"/>
  <c r="B480" i="3" s="1"/>
  <c r="W479" i="3" l="1"/>
  <c r="AA480" i="3"/>
  <c r="P480" i="3"/>
  <c r="Q480" i="3" s="1"/>
  <c r="R480" i="3" s="1"/>
  <c r="S480" i="3" s="1"/>
  <c r="AD480" i="3"/>
  <c r="AC480" i="3"/>
  <c r="Z480" i="3"/>
  <c r="L479" i="3"/>
  <c r="U479" i="3" l="1"/>
  <c r="Y478" i="3"/>
  <c r="T480" i="3"/>
  <c r="E480" i="3" l="1"/>
  <c r="H480" i="3" s="1"/>
  <c r="K480" i="3" s="1"/>
  <c r="AE480" i="3" s="1"/>
  <c r="AH480" i="3"/>
  <c r="AG480" i="3"/>
  <c r="D480" i="3"/>
  <c r="V480" i="3" l="1"/>
  <c r="A481" i="3"/>
  <c r="B481" i="3" s="1"/>
  <c r="F480" i="3"/>
  <c r="G480" i="3"/>
  <c r="I480" i="3" l="1"/>
  <c r="W480" i="3" s="1"/>
  <c r="J480" i="3"/>
  <c r="M480" i="3"/>
  <c r="N480" i="3" s="1"/>
  <c r="P481" i="3"/>
  <c r="Q481" i="3" s="1"/>
  <c r="R481" i="3" s="1"/>
  <c r="S481" i="3" s="1"/>
  <c r="AC481" i="3"/>
  <c r="AA481" i="3"/>
  <c r="Z481" i="3"/>
  <c r="T481" i="3" l="1"/>
  <c r="L480" i="3"/>
  <c r="U480" i="3" l="1"/>
  <c r="D481" i="3" s="1"/>
  <c r="AG481" i="3"/>
  <c r="AH481" i="3"/>
  <c r="Y479" i="3"/>
  <c r="G481" i="3" l="1"/>
  <c r="E481" i="3"/>
  <c r="H481" i="3" s="1"/>
  <c r="K481" i="3" l="1"/>
  <c r="AE481" i="3" s="1"/>
  <c r="I481" i="3"/>
  <c r="J481" i="3"/>
  <c r="AD481" i="3" s="1"/>
  <c r="M481" i="3"/>
  <c r="N481" i="3" s="1"/>
  <c r="F481" i="3"/>
  <c r="V481" i="3" l="1"/>
  <c r="W481" i="3" s="1"/>
  <c r="A482" i="3"/>
  <c r="B482" i="3" s="1"/>
  <c r="L481" i="3"/>
  <c r="U481" i="3" l="1"/>
  <c r="Y480" i="3"/>
  <c r="AC482" i="3"/>
  <c r="AA482" i="3"/>
  <c r="P482" i="3"/>
  <c r="Q482" i="3" s="1"/>
  <c r="R482" i="3" s="1"/>
  <c r="S482" i="3" s="1"/>
  <c r="AD482" i="3"/>
  <c r="Z482" i="3"/>
  <c r="T482" i="3" l="1"/>
  <c r="D482" i="3" s="1"/>
  <c r="AG482" i="3" l="1"/>
  <c r="G482" i="3"/>
  <c r="AH482" i="3"/>
  <c r="E482" i="3"/>
  <c r="H482" i="3" s="1"/>
  <c r="F482" i="3" l="1"/>
  <c r="I482" i="3"/>
  <c r="J482" i="3"/>
  <c r="M482" i="3"/>
  <c r="N482" i="3" s="1"/>
  <c r="K482" i="3"/>
  <c r="AE482" i="3" s="1"/>
  <c r="V482" i="3" l="1"/>
  <c r="W482" i="3" s="1"/>
  <c r="A483" i="3"/>
  <c r="B483" i="3" s="1"/>
  <c r="L482" i="3"/>
  <c r="U482" i="3" l="1"/>
  <c r="Y481" i="3"/>
  <c r="P483" i="3"/>
  <c r="Q483" i="3" s="1"/>
  <c r="R483" i="3" s="1"/>
  <c r="S483" i="3" s="1"/>
  <c r="Z483" i="3"/>
  <c r="AC483" i="3"/>
  <c r="AD483" i="3"/>
  <c r="AA483" i="3"/>
  <c r="T483" i="3" l="1"/>
  <c r="E483" i="3" s="1"/>
  <c r="H483" i="3" s="1"/>
  <c r="AG483" i="3" l="1"/>
  <c r="AH483" i="3"/>
  <c r="D483" i="3"/>
  <c r="G483" i="3" s="1"/>
  <c r="K483" i="3"/>
  <c r="AE483" i="3" s="1"/>
  <c r="F483" i="3" l="1"/>
  <c r="I483" i="3"/>
  <c r="J483" i="3"/>
  <c r="M483" i="3"/>
  <c r="N483" i="3" s="1"/>
  <c r="V483" i="3"/>
  <c r="A484" i="3"/>
  <c r="B484" i="3" s="1"/>
  <c r="W483" i="3" l="1"/>
  <c r="L483" i="3"/>
  <c r="AC484" i="3"/>
  <c r="Z484" i="3"/>
  <c r="AA484" i="3"/>
  <c r="P484" i="3"/>
  <c r="Q484" i="3" s="1"/>
  <c r="R484" i="3" s="1"/>
  <c r="S484" i="3" s="1"/>
  <c r="T484" i="3" l="1"/>
  <c r="U483" i="3"/>
  <c r="Y482" i="3"/>
  <c r="E484" i="3" l="1"/>
  <c r="H484" i="3" s="1"/>
  <c r="K484" i="3" s="1"/>
  <c r="AE484" i="3" s="1"/>
  <c r="D484" i="3"/>
  <c r="G484" i="3" s="1"/>
  <c r="AG484" i="3"/>
  <c r="AH484" i="3"/>
  <c r="F484" i="3" l="1"/>
  <c r="V484" i="3"/>
  <c r="A485" i="3"/>
  <c r="B485" i="3" s="1"/>
  <c r="I484" i="3"/>
  <c r="J484" i="3"/>
  <c r="AD484" i="3" s="1"/>
  <c r="M484" i="3"/>
  <c r="N484" i="3" s="1"/>
  <c r="W484" i="3" l="1"/>
  <c r="L484" i="3"/>
  <c r="P485" i="3"/>
  <c r="Q485" i="3" s="1"/>
  <c r="R485" i="3" s="1"/>
  <c r="S485" i="3" s="1"/>
  <c r="AD485" i="3"/>
  <c r="AA485" i="3"/>
  <c r="AC485" i="3"/>
  <c r="Z485" i="3"/>
  <c r="U484" i="3" l="1"/>
  <c r="Y483" i="3"/>
  <c r="T485" i="3"/>
  <c r="D485" i="3" l="1"/>
  <c r="G485" i="3" s="1"/>
  <c r="AG485" i="3"/>
  <c r="AH485" i="3"/>
  <c r="E485" i="3"/>
  <c r="H485" i="3" s="1"/>
  <c r="K485" i="3" s="1"/>
  <c r="AE485" i="3" s="1"/>
  <c r="F485" i="3" l="1"/>
  <c r="I485" i="3"/>
  <c r="J485" i="3"/>
  <c r="M485" i="3"/>
  <c r="N485" i="3" s="1"/>
  <c r="V485" i="3"/>
  <c r="A486" i="3"/>
  <c r="B486" i="3" s="1"/>
  <c r="W485" i="3" l="1"/>
  <c r="L485" i="3"/>
  <c r="AA486" i="3"/>
  <c r="P486" i="3"/>
  <c r="Q486" i="3" s="1"/>
  <c r="R486" i="3" s="1"/>
  <c r="S486" i="3" s="1"/>
  <c r="AC486" i="3"/>
  <c r="AD486" i="3"/>
  <c r="Z486" i="3"/>
  <c r="T486" i="3" l="1"/>
  <c r="AH486" i="3" s="1"/>
  <c r="U485" i="3"/>
  <c r="Y484" i="3"/>
  <c r="D486" i="3" l="1"/>
  <c r="G486" i="3" s="1"/>
  <c r="AG486" i="3"/>
  <c r="E486" i="3"/>
  <c r="H486" i="3" s="1"/>
  <c r="K486" i="3" s="1"/>
  <c r="AE486" i="3" s="1"/>
  <c r="F486" i="3" l="1"/>
  <c r="V486" i="3"/>
  <c r="A487" i="3"/>
  <c r="B487" i="3" s="1"/>
  <c r="I486" i="3"/>
  <c r="J486" i="3"/>
  <c r="M486" i="3"/>
  <c r="N486" i="3" s="1"/>
  <c r="W486" i="3" l="1"/>
  <c r="L486" i="3"/>
  <c r="AA487" i="3"/>
  <c r="P487" i="3"/>
  <c r="Q487" i="3" s="1"/>
  <c r="R487" i="3" s="1"/>
  <c r="S487" i="3" s="1"/>
  <c r="AC487" i="3"/>
  <c r="Z487" i="3"/>
  <c r="T487" i="3" l="1"/>
  <c r="U486" i="3"/>
  <c r="Y485" i="3"/>
  <c r="E487" i="3" l="1"/>
  <c r="H487" i="3" s="1"/>
  <c r="K487" i="3" s="1"/>
  <c r="AE487" i="3" s="1"/>
  <c r="D487" i="3"/>
  <c r="AH487" i="3"/>
  <c r="AG487" i="3"/>
  <c r="V487" i="3" l="1"/>
  <c r="A488" i="3"/>
  <c r="B488" i="3" s="1"/>
  <c r="F487" i="3"/>
  <c r="G487" i="3"/>
  <c r="I487" i="3" l="1"/>
  <c r="W487" i="3" s="1"/>
  <c r="J487" i="3"/>
  <c r="AD487" i="3" s="1"/>
  <c r="M487" i="3"/>
  <c r="N487" i="3" s="1"/>
  <c r="AA488" i="3"/>
  <c r="AD488" i="3"/>
  <c r="Z488" i="3"/>
  <c r="P488" i="3"/>
  <c r="Q488" i="3" s="1"/>
  <c r="R488" i="3" s="1"/>
  <c r="S488" i="3" s="1"/>
  <c r="AC488" i="3"/>
  <c r="L487" i="3" l="1"/>
  <c r="T488" i="3"/>
  <c r="U487" i="3" l="1"/>
  <c r="D488" i="3" s="1"/>
  <c r="AG488" i="3"/>
  <c r="AH488" i="3"/>
  <c r="Y486" i="3"/>
  <c r="E488" i="3" l="1"/>
  <c r="H488" i="3" s="1"/>
  <c r="K488" i="3" s="1"/>
  <c r="AE488" i="3" s="1"/>
  <c r="G488" i="3"/>
  <c r="F488" i="3" l="1"/>
  <c r="I488" i="3"/>
  <c r="J488" i="3"/>
  <c r="M488" i="3"/>
  <c r="N488" i="3" s="1"/>
  <c r="V488" i="3"/>
  <c r="A489" i="3"/>
  <c r="B489" i="3" s="1"/>
  <c r="W488" i="3" l="1"/>
  <c r="L488" i="3"/>
  <c r="P489" i="3"/>
  <c r="Q489" i="3" s="1"/>
  <c r="R489" i="3" s="1"/>
  <c r="S489" i="3" s="1"/>
  <c r="AC489" i="3"/>
  <c r="AA489" i="3"/>
  <c r="AD489" i="3"/>
  <c r="Z489" i="3"/>
  <c r="U488" i="3" l="1"/>
  <c r="Y487" i="3"/>
  <c r="T489" i="3"/>
  <c r="AH489" i="3" s="1"/>
  <c r="AG489" i="3" l="1"/>
  <c r="D489" i="3"/>
  <c r="E489" i="3"/>
  <c r="H489" i="3" s="1"/>
  <c r="K489" i="3" s="1"/>
  <c r="AE489" i="3" s="1"/>
  <c r="F489" i="3" l="1"/>
  <c r="G489" i="3"/>
  <c r="M489" i="3" s="1"/>
  <c r="N489" i="3" s="1"/>
  <c r="V489" i="3"/>
  <c r="A490" i="3"/>
  <c r="B490" i="3" s="1"/>
  <c r="I489" i="3" l="1"/>
  <c r="W489" i="3" s="1"/>
  <c r="J489" i="3"/>
  <c r="L489" i="3" s="1"/>
  <c r="Z490" i="3"/>
  <c r="AC490" i="3"/>
  <c r="P490" i="3"/>
  <c r="Q490" i="3" s="1"/>
  <c r="R490" i="3" s="1"/>
  <c r="S490" i="3" s="1"/>
  <c r="AD490" i="3"/>
  <c r="AA490" i="3"/>
  <c r="T490" i="3" l="1"/>
  <c r="AH490" i="3" s="1"/>
  <c r="U489" i="3"/>
  <c r="Y488" i="3"/>
  <c r="E490" i="3" l="1"/>
  <c r="H490" i="3" s="1"/>
  <c r="K490" i="3" s="1"/>
  <c r="AE490" i="3" s="1"/>
  <c r="D490" i="3"/>
  <c r="AG490" i="3"/>
  <c r="V490" i="3" l="1"/>
  <c r="A491" i="3"/>
  <c r="B491" i="3" s="1"/>
  <c r="F490" i="3"/>
  <c r="G490" i="3"/>
  <c r="I490" i="3" l="1"/>
  <c r="W490" i="3" s="1"/>
  <c r="J490" i="3"/>
  <c r="M490" i="3"/>
  <c r="N490" i="3" s="1"/>
  <c r="P491" i="3"/>
  <c r="Q491" i="3" s="1"/>
  <c r="R491" i="3" s="1"/>
  <c r="S491" i="3" s="1"/>
  <c r="Z491" i="3"/>
  <c r="AC491" i="3"/>
  <c r="AA491" i="3"/>
  <c r="T491" i="3" l="1"/>
  <c r="L490" i="3"/>
  <c r="AH491" i="3" l="1"/>
  <c r="U490" i="3"/>
  <c r="D491" i="3" s="1"/>
  <c r="AG491" i="3"/>
  <c r="Y489" i="3"/>
  <c r="E491" i="3" l="1"/>
  <c r="H491" i="3" s="1"/>
  <c r="K491" i="3" s="1"/>
  <c r="AE491" i="3" s="1"/>
  <c r="G491" i="3"/>
  <c r="F491" i="3" l="1"/>
  <c r="I491" i="3"/>
  <c r="J491" i="3"/>
  <c r="AD491" i="3" s="1"/>
  <c r="M491" i="3"/>
  <c r="N491" i="3" s="1"/>
  <c r="V491" i="3"/>
  <c r="A492" i="3"/>
  <c r="B492" i="3" s="1"/>
  <c r="W491" i="3" l="1"/>
  <c r="L491" i="3"/>
  <c r="AC492" i="3"/>
  <c r="AA492" i="3"/>
  <c r="P492" i="3"/>
  <c r="Q492" i="3" s="1"/>
  <c r="R492" i="3" s="1"/>
  <c r="S492" i="3" s="1"/>
  <c r="Z492" i="3"/>
  <c r="AD492" i="3"/>
  <c r="T492" i="3" l="1"/>
  <c r="U491" i="3"/>
  <c r="Y490" i="3"/>
  <c r="D492" i="3" l="1"/>
  <c r="G492" i="3" s="1"/>
  <c r="AH492" i="3"/>
  <c r="AG492" i="3"/>
  <c r="E492" i="3"/>
  <c r="H492" i="3" s="1"/>
  <c r="F492" i="3" l="1"/>
  <c r="I492" i="3"/>
  <c r="J492" i="3"/>
  <c r="M492" i="3"/>
  <c r="N492" i="3" s="1"/>
  <c r="K492" i="3"/>
  <c r="AE492" i="3" s="1"/>
  <c r="L492" i="3" l="1"/>
  <c r="V492" i="3"/>
  <c r="W492" i="3" s="1"/>
  <c r="A493" i="3"/>
  <c r="B493" i="3" s="1"/>
  <c r="U492" i="3" l="1"/>
  <c r="Y491" i="3"/>
  <c r="P493" i="3"/>
  <c r="Q493" i="3" s="1"/>
  <c r="R493" i="3" s="1"/>
  <c r="S493" i="3" s="1"/>
  <c r="AC493" i="3"/>
  <c r="AA493" i="3"/>
  <c r="Z493" i="3"/>
  <c r="AD493" i="3"/>
  <c r="T493" i="3" l="1"/>
  <c r="AH493" i="3" s="1"/>
  <c r="AG493" i="3" l="1"/>
  <c r="E493" i="3"/>
  <c r="H493" i="3" s="1"/>
  <c r="K493" i="3" s="1"/>
  <c r="AE493" i="3" s="1"/>
  <c r="D493" i="3"/>
  <c r="F493" i="3" l="1"/>
  <c r="G493" i="3"/>
  <c r="J493" i="3" s="1"/>
  <c r="V493" i="3"/>
  <c r="A494" i="3"/>
  <c r="B494" i="3" s="1"/>
  <c r="M493" i="3" l="1"/>
  <c r="N493" i="3" s="1"/>
  <c r="I493" i="3"/>
  <c r="W493" i="3" s="1"/>
  <c r="L493" i="3"/>
  <c r="P494" i="3"/>
  <c r="Q494" i="3" s="1"/>
  <c r="R494" i="3" s="1"/>
  <c r="S494" i="3" s="1"/>
  <c r="AC494" i="3"/>
  <c r="Z494" i="3"/>
  <c r="AA494" i="3"/>
  <c r="T494" i="3" l="1"/>
  <c r="AH494" i="3" s="1"/>
  <c r="U493" i="3"/>
  <c r="Y492" i="3"/>
  <c r="E494" i="3" l="1"/>
  <c r="H494" i="3" s="1"/>
  <c r="K494" i="3" s="1"/>
  <c r="AE494" i="3" s="1"/>
  <c r="D494" i="3"/>
  <c r="AG494" i="3"/>
  <c r="F494" i="3" l="1"/>
  <c r="G494" i="3"/>
  <c r="V494" i="3"/>
  <c r="A495" i="3"/>
  <c r="B495" i="3" s="1"/>
  <c r="Z495" i="3" l="1"/>
  <c r="P495" i="3"/>
  <c r="Q495" i="3" s="1"/>
  <c r="R495" i="3" s="1"/>
  <c r="S495" i="3" s="1"/>
  <c r="AA495" i="3"/>
  <c r="AD495" i="3"/>
  <c r="AC495" i="3"/>
  <c r="I494" i="3"/>
  <c r="W494" i="3" s="1"/>
  <c r="J494" i="3"/>
  <c r="AD494" i="3" s="1"/>
  <c r="M494" i="3"/>
  <c r="N494" i="3" s="1"/>
  <c r="L494" i="3" l="1"/>
  <c r="T495" i="3"/>
  <c r="AG495" i="3" l="1"/>
  <c r="U494" i="3"/>
  <c r="D495" i="3" s="1"/>
  <c r="AH495" i="3"/>
  <c r="Y493" i="3"/>
  <c r="E495" i="3" l="1"/>
  <c r="H495" i="3" s="1"/>
  <c r="K495" i="3" s="1"/>
  <c r="AE495" i="3" s="1"/>
  <c r="G495" i="3"/>
  <c r="F495" i="3" l="1"/>
  <c r="V495" i="3"/>
  <c r="A496" i="3"/>
  <c r="B496" i="3" s="1"/>
  <c r="I495" i="3"/>
  <c r="J495" i="3"/>
  <c r="M495" i="3"/>
  <c r="N495" i="3" s="1"/>
  <c r="W495" i="3" l="1"/>
  <c r="L495" i="3"/>
  <c r="AD496" i="3"/>
  <c r="AA496" i="3"/>
  <c r="P496" i="3"/>
  <c r="Q496" i="3" s="1"/>
  <c r="R496" i="3" s="1"/>
  <c r="S496" i="3" s="1"/>
  <c r="Z496" i="3"/>
  <c r="AC496" i="3"/>
  <c r="U495" i="3" l="1"/>
  <c r="Y494" i="3"/>
  <c r="T496" i="3"/>
  <c r="AH496" i="3" s="1"/>
  <c r="D496" i="3" l="1"/>
  <c r="G496" i="3" s="1"/>
  <c r="AG496" i="3"/>
  <c r="E496" i="3"/>
  <c r="H496" i="3" s="1"/>
  <c r="K496" i="3" s="1"/>
  <c r="AE496" i="3" s="1"/>
  <c r="F496" i="3" l="1"/>
  <c r="V496" i="3"/>
  <c r="A497" i="3"/>
  <c r="B497" i="3" s="1"/>
  <c r="I496" i="3"/>
  <c r="J496" i="3"/>
  <c r="M496" i="3"/>
  <c r="N496" i="3" s="1"/>
  <c r="W496" i="3" l="1"/>
  <c r="L496" i="3"/>
  <c r="P497" i="3"/>
  <c r="Q497" i="3" s="1"/>
  <c r="R497" i="3" s="1"/>
  <c r="S497" i="3" s="1"/>
  <c r="AC497" i="3"/>
  <c r="AA497" i="3"/>
  <c r="Z497" i="3"/>
  <c r="U496" i="3" l="1"/>
  <c r="Y495" i="3"/>
  <c r="T497" i="3"/>
  <c r="AG497" i="3" s="1"/>
  <c r="E497" i="3" l="1"/>
  <c r="H497" i="3" s="1"/>
  <c r="D497" i="3"/>
  <c r="AH497" i="3"/>
  <c r="F497" i="3" l="1"/>
  <c r="G497" i="3"/>
  <c r="K497" i="3"/>
  <c r="AE497" i="3" s="1"/>
  <c r="I497" i="3" l="1"/>
  <c r="J497" i="3"/>
  <c r="AD497" i="3" s="1"/>
  <c r="M497" i="3"/>
  <c r="N497" i="3" s="1"/>
  <c r="V497" i="3"/>
  <c r="A498" i="3"/>
  <c r="B498" i="3" s="1"/>
  <c r="W497" i="3" l="1"/>
  <c r="L497" i="3"/>
  <c r="Z498" i="3"/>
  <c r="AC498" i="3"/>
  <c r="AD498" i="3"/>
  <c r="AA498" i="3"/>
  <c r="P498" i="3"/>
  <c r="Q498" i="3" s="1"/>
  <c r="R498" i="3" s="1"/>
  <c r="S498" i="3" s="1"/>
  <c r="U497" i="3" l="1"/>
  <c r="Y496" i="3"/>
  <c r="T498" i="3"/>
  <c r="AH498" i="3" s="1"/>
  <c r="AG498" i="3" l="1"/>
  <c r="D498" i="3"/>
  <c r="E498" i="3"/>
  <c r="H498" i="3" s="1"/>
  <c r="F498" i="3" l="1"/>
  <c r="G498" i="3"/>
  <c r="K498" i="3"/>
  <c r="AE498" i="3" s="1"/>
  <c r="I498" i="3" l="1"/>
  <c r="J498" i="3"/>
  <c r="M498" i="3"/>
  <c r="N498" i="3" s="1"/>
  <c r="V498" i="3"/>
  <c r="A499" i="3"/>
  <c r="B499" i="3" s="1"/>
  <c r="W498" i="3" l="1"/>
  <c r="L498" i="3"/>
  <c r="AC499" i="3"/>
  <c r="P499" i="3"/>
  <c r="Q499" i="3" s="1"/>
  <c r="R499" i="3" s="1"/>
  <c r="S499" i="3" s="1"/>
  <c r="AD499" i="3"/>
  <c r="AA499" i="3"/>
  <c r="Z499" i="3"/>
  <c r="T499" i="3" l="1"/>
  <c r="U498" i="3"/>
  <c r="Y497" i="3"/>
  <c r="D499" i="3" l="1"/>
  <c r="G499" i="3" s="1"/>
  <c r="AH499" i="3"/>
  <c r="E499" i="3"/>
  <c r="H499" i="3" s="1"/>
  <c r="AG499" i="3"/>
  <c r="F499" i="3" l="1"/>
  <c r="I499" i="3"/>
  <c r="J499" i="3"/>
  <c r="M499" i="3"/>
  <c r="N499" i="3" s="1"/>
  <c r="K499" i="3"/>
  <c r="AE499" i="3" s="1"/>
  <c r="V499" i="3" l="1"/>
  <c r="W499" i="3" s="1"/>
  <c r="A500" i="3"/>
  <c r="B500" i="3" s="1"/>
  <c r="L499" i="3"/>
  <c r="U499" i="3" l="1"/>
  <c r="Y498" i="3"/>
  <c r="AD500" i="3"/>
  <c r="AA500" i="3"/>
  <c r="AC500" i="3"/>
  <c r="P500" i="3"/>
  <c r="Q500" i="3" s="1"/>
  <c r="R500" i="3" s="1"/>
  <c r="S500" i="3" s="1"/>
  <c r="Z500" i="3"/>
  <c r="T500" i="3" l="1"/>
  <c r="AH500" i="3" s="1"/>
  <c r="D500" i="3" l="1"/>
  <c r="AG500" i="3"/>
  <c r="E500" i="3"/>
  <c r="H500" i="3" s="1"/>
  <c r="F500" i="3" l="1"/>
  <c r="G500" i="3"/>
  <c r="K500" i="3"/>
  <c r="AE500" i="3" s="1"/>
  <c r="I500" i="3" l="1"/>
  <c r="J500" i="3"/>
  <c r="M500" i="3"/>
  <c r="N500" i="3" s="1"/>
  <c r="V500" i="3"/>
  <c r="A501" i="3"/>
  <c r="B501" i="3" s="1"/>
  <c r="W500" i="3" l="1"/>
  <c r="L500" i="3"/>
  <c r="P501" i="3"/>
  <c r="Q501" i="3" s="1"/>
  <c r="R501" i="3" s="1"/>
  <c r="S501" i="3" s="1"/>
  <c r="AC501" i="3"/>
  <c r="Z501" i="3"/>
  <c r="AA501" i="3"/>
  <c r="U500" i="3" l="1"/>
  <c r="Y499" i="3"/>
  <c r="T501" i="3"/>
  <c r="D501" i="3" l="1"/>
  <c r="G501" i="3" s="1"/>
  <c r="E501" i="3"/>
  <c r="H501" i="3" s="1"/>
  <c r="K501" i="3" s="1"/>
  <c r="AE501" i="3" s="1"/>
  <c r="AG501" i="3"/>
  <c r="AH501" i="3"/>
  <c r="F501" i="3" l="1"/>
  <c r="I501" i="3"/>
  <c r="J501" i="3"/>
  <c r="AD501" i="3" s="1"/>
  <c r="M501" i="3"/>
  <c r="N501" i="3" s="1"/>
  <c r="V501" i="3"/>
  <c r="A502" i="3"/>
  <c r="B502" i="3" s="1"/>
  <c r="L501" i="3" l="1"/>
  <c r="W501" i="3"/>
  <c r="Z502" i="3"/>
  <c r="AA502" i="3"/>
  <c r="AC502" i="3"/>
  <c r="AD502" i="3"/>
  <c r="P502" i="3"/>
  <c r="Q502" i="3" s="1"/>
  <c r="R502" i="3" s="1"/>
  <c r="S502" i="3" s="1"/>
  <c r="U501" i="3" l="1"/>
  <c r="Y500" i="3"/>
  <c r="T502" i="3"/>
  <c r="E502" i="3" l="1"/>
  <c r="H502" i="3" s="1"/>
  <c r="K502" i="3" s="1"/>
  <c r="AE502" i="3" s="1"/>
  <c r="AG502" i="3"/>
  <c r="D502" i="3"/>
  <c r="AH502" i="3"/>
  <c r="F502" i="3" l="1"/>
  <c r="G502" i="3"/>
  <c r="V502" i="3"/>
  <c r="A503" i="3"/>
  <c r="B503" i="3" s="1"/>
  <c r="I502" i="3" l="1"/>
  <c r="W502" i="3" s="1"/>
  <c r="J502" i="3"/>
  <c r="M502" i="3"/>
  <c r="N502" i="3" s="1"/>
  <c r="AA503" i="3"/>
  <c r="P503" i="3"/>
  <c r="Q503" i="3" s="1"/>
  <c r="R503" i="3" s="1"/>
  <c r="S503" i="3" s="1"/>
  <c r="AD503" i="3"/>
  <c r="AC503" i="3"/>
  <c r="Z503" i="3"/>
  <c r="T503" i="3" l="1"/>
  <c r="L502" i="3"/>
  <c r="AG503" i="3" l="1"/>
  <c r="AH503" i="3"/>
  <c r="U502" i="3"/>
  <c r="E503" i="3" s="1"/>
  <c r="H503" i="3" s="1"/>
  <c r="Y501" i="3"/>
  <c r="D503" i="3" l="1"/>
  <c r="G503" i="3" s="1"/>
  <c r="K503" i="3"/>
  <c r="AE503" i="3" s="1"/>
  <c r="F503" i="3" l="1"/>
  <c r="V503" i="3"/>
  <c r="A504" i="3"/>
  <c r="B504" i="3" s="1"/>
  <c r="I503" i="3"/>
  <c r="J503" i="3"/>
  <c r="M503" i="3"/>
  <c r="N503" i="3" s="1"/>
  <c r="W503" i="3" l="1"/>
  <c r="L503" i="3"/>
  <c r="P504" i="3"/>
  <c r="Q504" i="3" s="1"/>
  <c r="R504" i="3" s="1"/>
  <c r="S504" i="3" s="1"/>
  <c r="Z504" i="3"/>
  <c r="AA504" i="3"/>
  <c r="AC504" i="3"/>
  <c r="U503" i="3" l="1"/>
  <c r="Y502" i="3"/>
  <c r="T504" i="3"/>
  <c r="AG504" i="3" s="1"/>
  <c r="E504" i="3" l="1"/>
  <c r="H504" i="3" s="1"/>
  <c r="K504" i="3" s="1"/>
  <c r="AE504" i="3" s="1"/>
  <c r="D504" i="3"/>
  <c r="AH504" i="3"/>
  <c r="F504" i="3" l="1"/>
  <c r="G504" i="3"/>
  <c r="I504" i="3" s="1"/>
  <c r="V504" i="3"/>
  <c r="A505" i="3"/>
  <c r="B505" i="3" s="1"/>
  <c r="J504" i="3" l="1"/>
  <c r="W504" i="3"/>
  <c r="M504" i="3"/>
  <c r="N504" i="3" s="1"/>
  <c r="P505" i="3"/>
  <c r="Q505" i="3" s="1"/>
  <c r="R505" i="3" s="1"/>
  <c r="S505" i="3" s="1"/>
  <c r="AC505" i="3"/>
  <c r="Z505" i="3"/>
  <c r="AD505" i="3"/>
  <c r="AA505" i="3"/>
  <c r="L504" i="3" l="1"/>
  <c r="Y503" i="3" s="1"/>
  <c r="AD504" i="3"/>
  <c r="T505" i="3"/>
  <c r="AH505" i="3" l="1"/>
  <c r="U504" i="3"/>
  <c r="D505" i="3" s="1"/>
  <c r="G505" i="3" s="1"/>
  <c r="AG505" i="3"/>
  <c r="E505" i="3" l="1"/>
  <c r="H505" i="3" s="1"/>
  <c r="K505" i="3" s="1"/>
  <c r="AE505" i="3" s="1"/>
  <c r="J505" i="3"/>
  <c r="I505" i="3" l="1"/>
  <c r="F505" i="3"/>
  <c r="V505" i="3"/>
  <c r="M505" i="3"/>
  <c r="N505" i="3" s="1"/>
  <c r="A506" i="3"/>
  <c r="B506" i="3" s="1"/>
  <c r="P506" i="3" s="1"/>
  <c r="Q506" i="3" s="1"/>
  <c r="R506" i="3" s="1"/>
  <c r="S506" i="3" s="1"/>
  <c r="L505" i="3"/>
  <c r="W505" i="3" l="1"/>
  <c r="AA506" i="3"/>
  <c r="AD506" i="3"/>
  <c r="AC506" i="3"/>
  <c r="Z506" i="3"/>
  <c r="U505" i="3"/>
  <c r="Y504" i="3"/>
  <c r="T506" i="3"/>
  <c r="AG506" i="3" l="1"/>
  <c r="D506" i="3"/>
  <c r="G506" i="3" s="1"/>
  <c r="AH506" i="3"/>
  <c r="E506" i="3"/>
  <c r="H506" i="3" s="1"/>
  <c r="K506" i="3" s="1"/>
  <c r="AE506" i="3" s="1"/>
  <c r="F506" i="3" l="1"/>
  <c r="I506" i="3"/>
  <c r="J506" i="3"/>
  <c r="M506" i="3"/>
  <c r="N506" i="3" s="1"/>
  <c r="V506" i="3"/>
  <c r="A507" i="3"/>
  <c r="B507" i="3" s="1"/>
  <c r="W506" i="3" l="1"/>
  <c r="L506" i="3"/>
  <c r="AC507" i="3"/>
  <c r="P507" i="3"/>
  <c r="Q507" i="3" s="1"/>
  <c r="R507" i="3" s="1"/>
  <c r="S507" i="3" s="1"/>
  <c r="AA507" i="3"/>
  <c r="Z507" i="3"/>
  <c r="U506" i="3" l="1"/>
  <c r="Y505" i="3"/>
  <c r="T507" i="3"/>
  <c r="AH507" i="3" s="1"/>
  <c r="AG507" i="3" l="1"/>
  <c r="E507" i="3"/>
  <c r="H507" i="3" s="1"/>
  <c r="D507" i="3"/>
  <c r="K507" i="3" l="1"/>
  <c r="AE507" i="3" s="1"/>
  <c r="F507" i="3"/>
  <c r="G507" i="3"/>
  <c r="I507" i="3" l="1"/>
  <c r="J507" i="3"/>
  <c r="AD507" i="3" s="1"/>
  <c r="M507" i="3"/>
  <c r="N507" i="3" s="1"/>
  <c r="V507" i="3"/>
  <c r="A508" i="3"/>
  <c r="B508" i="3" s="1"/>
  <c r="W507" i="3" l="1"/>
  <c r="L507" i="3"/>
  <c r="P508" i="3"/>
  <c r="Q508" i="3" s="1"/>
  <c r="R508" i="3" s="1"/>
  <c r="S508" i="3" s="1"/>
  <c r="AD508" i="3"/>
  <c r="AA508" i="3"/>
  <c r="Z508" i="3"/>
  <c r="AC508" i="3"/>
  <c r="U507" i="3" l="1"/>
  <c r="Y506" i="3"/>
  <c r="T508" i="3"/>
  <c r="E508" i="3" l="1"/>
  <c r="H508" i="3" s="1"/>
  <c r="K508" i="3" s="1"/>
  <c r="AE508" i="3" s="1"/>
  <c r="AH508" i="3"/>
  <c r="D508" i="3"/>
  <c r="AG508" i="3"/>
  <c r="F508" i="3" l="1"/>
  <c r="G508" i="3"/>
  <c r="V508" i="3"/>
  <c r="A509" i="3"/>
  <c r="B509" i="3" s="1"/>
  <c r="AD509" i="3" l="1"/>
  <c r="AC509" i="3"/>
  <c r="Z509" i="3"/>
  <c r="AA509" i="3"/>
  <c r="P509" i="3"/>
  <c r="Q509" i="3" s="1"/>
  <c r="R509" i="3" s="1"/>
  <c r="S509" i="3" s="1"/>
  <c r="I508" i="3"/>
  <c r="W508" i="3" s="1"/>
  <c r="J508" i="3"/>
  <c r="M508" i="3"/>
  <c r="N508" i="3" s="1"/>
  <c r="L508" i="3" l="1"/>
  <c r="T509" i="3"/>
  <c r="AG509" i="3" l="1"/>
  <c r="AH509" i="3"/>
  <c r="U508" i="3"/>
  <c r="D509" i="3" s="1"/>
  <c r="Y507" i="3"/>
  <c r="G509" i="3" l="1"/>
  <c r="E509" i="3"/>
  <c r="H509" i="3" s="1"/>
  <c r="F509" i="3" l="1"/>
  <c r="I509" i="3"/>
  <c r="J509" i="3"/>
  <c r="M509" i="3"/>
  <c r="N509" i="3" s="1"/>
  <c r="K509" i="3"/>
  <c r="AE509" i="3" s="1"/>
  <c r="V509" i="3" l="1"/>
  <c r="W509" i="3" s="1"/>
  <c r="A510" i="3"/>
  <c r="B510" i="3" s="1"/>
  <c r="L509" i="3"/>
  <c r="U509" i="3" l="1"/>
  <c r="Y508" i="3"/>
  <c r="AC510" i="3"/>
  <c r="Z510" i="3"/>
  <c r="AA510" i="3"/>
  <c r="AD510" i="3"/>
  <c r="P510" i="3"/>
  <c r="Q510" i="3" s="1"/>
  <c r="R510" i="3" s="1"/>
  <c r="S510" i="3" s="1"/>
  <c r="T510" i="3" l="1"/>
  <c r="AH510" i="3" l="1"/>
  <c r="E510" i="3"/>
  <c r="H510" i="3" s="1"/>
  <c r="D510" i="3"/>
  <c r="AG510" i="3"/>
  <c r="F510" i="3" l="1"/>
  <c r="G510" i="3"/>
  <c r="K510" i="3"/>
  <c r="AE510" i="3" s="1"/>
  <c r="V510" i="3" l="1"/>
  <c r="A511" i="3"/>
  <c r="B511" i="3" s="1"/>
  <c r="I510" i="3"/>
  <c r="J510" i="3"/>
  <c r="M510" i="3"/>
  <c r="N510" i="3" s="1"/>
  <c r="L510" i="3" l="1"/>
  <c r="AA511" i="3"/>
  <c r="AC511" i="3"/>
  <c r="P511" i="3"/>
  <c r="Q511" i="3" s="1"/>
  <c r="R511" i="3" s="1"/>
  <c r="S511" i="3" s="1"/>
  <c r="Z511" i="3"/>
  <c r="W510" i="3"/>
  <c r="U510" i="3" l="1"/>
  <c r="Y509" i="3"/>
  <c r="T511" i="3"/>
  <c r="AG511" i="3" s="1"/>
  <c r="AH511" i="3" l="1"/>
  <c r="D511" i="3"/>
  <c r="E511" i="3"/>
  <c r="H511" i="3" s="1"/>
  <c r="F511" i="3" l="1"/>
  <c r="G511" i="3"/>
  <c r="K511" i="3"/>
  <c r="AE511" i="3" s="1"/>
  <c r="V511" i="3" l="1"/>
  <c r="A512" i="3"/>
  <c r="B512" i="3" s="1"/>
  <c r="I511" i="3"/>
  <c r="J511" i="3"/>
  <c r="AD511" i="3" s="1"/>
  <c r="M511" i="3"/>
  <c r="N511" i="3" s="1"/>
  <c r="W511" i="3" l="1"/>
  <c r="L511" i="3"/>
  <c r="AC512" i="3"/>
  <c r="Z512" i="3"/>
  <c r="AA512" i="3"/>
  <c r="P512" i="3"/>
  <c r="Q512" i="3" s="1"/>
  <c r="R512" i="3" s="1"/>
  <c r="S512" i="3" s="1"/>
  <c r="AD512" i="3"/>
  <c r="T512" i="3" l="1"/>
  <c r="U511" i="3"/>
  <c r="Y510" i="3"/>
  <c r="D512" i="3" l="1"/>
  <c r="G512" i="3" s="1"/>
  <c r="AH512" i="3"/>
  <c r="E512" i="3"/>
  <c r="H512" i="3" s="1"/>
  <c r="K512" i="3" s="1"/>
  <c r="AE512" i="3" s="1"/>
  <c r="AG512" i="3"/>
  <c r="F512" i="3" l="1"/>
  <c r="I512" i="3"/>
  <c r="J512" i="3"/>
  <c r="M512" i="3"/>
  <c r="N512" i="3" s="1"/>
  <c r="V512" i="3"/>
  <c r="A513" i="3"/>
  <c r="B513" i="3" s="1"/>
  <c r="W512" i="3" l="1"/>
  <c r="L512" i="3"/>
  <c r="AA513" i="3"/>
  <c r="P513" i="3"/>
  <c r="Q513" i="3" s="1"/>
  <c r="R513" i="3" s="1"/>
  <c r="S513" i="3" s="1"/>
  <c r="AC513" i="3"/>
  <c r="AD513" i="3"/>
  <c r="Z513" i="3"/>
  <c r="T513" i="3" l="1"/>
  <c r="AG513" i="3" s="1"/>
  <c r="U512" i="3"/>
  <c r="Y511" i="3"/>
  <c r="AH513" i="3" l="1"/>
  <c r="E513" i="3"/>
  <c r="H513" i="3" s="1"/>
  <c r="D513" i="3"/>
  <c r="F513" i="3" l="1"/>
  <c r="G513" i="3"/>
  <c r="K513" i="3"/>
  <c r="AE513" i="3" s="1"/>
  <c r="V513" i="3" l="1"/>
  <c r="A514" i="3"/>
  <c r="B514" i="3" s="1"/>
  <c r="I513" i="3"/>
  <c r="J513" i="3"/>
  <c r="M513" i="3"/>
  <c r="N513" i="3" s="1"/>
  <c r="L513" i="3" l="1"/>
  <c r="Z514" i="3"/>
  <c r="AA514" i="3"/>
  <c r="AC514" i="3"/>
  <c r="P514" i="3"/>
  <c r="Q514" i="3" s="1"/>
  <c r="R514" i="3" s="1"/>
  <c r="S514" i="3" s="1"/>
  <c r="W513" i="3"/>
  <c r="T514" i="3" l="1"/>
  <c r="AH514" i="3" s="1"/>
  <c r="U513" i="3"/>
  <c r="Y512" i="3"/>
  <c r="AG514" i="3" l="1"/>
  <c r="E514" i="3"/>
  <c r="H514" i="3" s="1"/>
  <c r="D514" i="3"/>
  <c r="K514" i="3" l="1"/>
  <c r="AE514" i="3" s="1"/>
  <c r="F514" i="3"/>
  <c r="G514" i="3"/>
  <c r="V514" i="3" l="1"/>
  <c r="A515" i="3"/>
  <c r="B515" i="3" s="1"/>
  <c r="I514" i="3"/>
  <c r="J514" i="3"/>
  <c r="AD514" i="3" s="1"/>
  <c r="M514" i="3"/>
  <c r="N514" i="3" s="1"/>
  <c r="W514" i="3" l="1"/>
  <c r="L514" i="3"/>
  <c r="AD515" i="3"/>
  <c r="P515" i="3"/>
  <c r="Q515" i="3" s="1"/>
  <c r="R515" i="3" s="1"/>
  <c r="S515" i="3" s="1"/>
  <c r="AC515" i="3"/>
  <c r="Z515" i="3"/>
  <c r="AA515" i="3"/>
  <c r="U514" i="3" l="1"/>
  <c r="Y513" i="3"/>
  <c r="T515" i="3"/>
  <c r="D515" i="3" l="1"/>
  <c r="G515" i="3" s="1"/>
  <c r="AG515" i="3"/>
  <c r="AH515" i="3"/>
  <c r="E515" i="3"/>
  <c r="H515" i="3" s="1"/>
  <c r="K515" i="3" l="1"/>
  <c r="AE515" i="3" s="1"/>
  <c r="I515" i="3"/>
  <c r="J515" i="3"/>
  <c r="M515" i="3"/>
  <c r="N515" i="3" s="1"/>
  <c r="F515" i="3"/>
  <c r="L515" i="3" l="1"/>
  <c r="V515" i="3"/>
  <c r="W515" i="3" s="1"/>
  <c r="A516" i="3"/>
  <c r="B516" i="3" s="1"/>
  <c r="U515" i="3" l="1"/>
  <c r="Y514" i="3"/>
  <c r="AA516" i="3"/>
  <c r="Z516" i="3"/>
  <c r="AC516" i="3"/>
  <c r="P516" i="3"/>
  <c r="Q516" i="3" s="1"/>
  <c r="R516" i="3" s="1"/>
  <c r="S516" i="3" s="1"/>
  <c r="AD516" i="3"/>
  <c r="T516" i="3" l="1"/>
  <c r="AG516" i="3" s="1"/>
  <c r="D516" i="3" l="1"/>
  <c r="AH516" i="3"/>
  <c r="E516" i="3"/>
  <c r="H516" i="3" s="1"/>
  <c r="F516" i="3" l="1"/>
  <c r="G516" i="3"/>
  <c r="K516" i="3"/>
  <c r="AE516" i="3" s="1"/>
  <c r="I516" i="3" l="1"/>
  <c r="J516" i="3"/>
  <c r="M516" i="3"/>
  <c r="N516" i="3" s="1"/>
  <c r="V516" i="3"/>
  <c r="A517" i="3"/>
  <c r="B517" i="3" s="1"/>
  <c r="W516" i="3" l="1"/>
  <c r="L516" i="3"/>
  <c r="AC517" i="3"/>
  <c r="P517" i="3"/>
  <c r="Q517" i="3" s="1"/>
  <c r="R517" i="3" s="1"/>
  <c r="S517" i="3" s="1"/>
  <c r="AA517" i="3"/>
  <c r="Z517" i="3"/>
  <c r="U516" i="3" l="1"/>
  <c r="Y515" i="3"/>
  <c r="T517" i="3"/>
  <c r="AG517" i="3" s="1"/>
  <c r="D517" i="3" l="1"/>
  <c r="G517" i="3" s="1"/>
  <c r="AH517" i="3"/>
  <c r="E517" i="3"/>
  <c r="H517" i="3" s="1"/>
  <c r="K517" i="3" s="1"/>
  <c r="AE517" i="3" s="1"/>
  <c r="F517" i="3" l="1"/>
  <c r="I517" i="3"/>
  <c r="J517" i="3"/>
  <c r="AD517" i="3" s="1"/>
  <c r="M517" i="3"/>
  <c r="N517" i="3" s="1"/>
  <c r="V517" i="3"/>
  <c r="A518" i="3"/>
  <c r="B518" i="3" s="1"/>
  <c r="W517" i="3" l="1"/>
  <c r="L517" i="3"/>
  <c r="AD518" i="3"/>
  <c r="AA518" i="3"/>
  <c r="AC518" i="3"/>
  <c r="Z518" i="3"/>
  <c r="P518" i="3"/>
  <c r="Q518" i="3" s="1"/>
  <c r="R518" i="3" s="1"/>
  <c r="S518" i="3" s="1"/>
  <c r="U517" i="3" l="1"/>
  <c r="Y516" i="3"/>
  <c r="T518" i="3"/>
  <c r="D518" i="3" l="1"/>
  <c r="G518" i="3" s="1"/>
  <c r="E518" i="3"/>
  <c r="H518" i="3" s="1"/>
  <c r="AH518" i="3"/>
  <c r="AG518" i="3"/>
  <c r="F518" i="3" l="1"/>
  <c r="I518" i="3"/>
  <c r="J518" i="3"/>
  <c r="M518" i="3"/>
  <c r="N518" i="3" s="1"/>
  <c r="K518" i="3"/>
  <c r="AE518" i="3" s="1"/>
  <c r="V518" i="3" l="1"/>
  <c r="W518" i="3" s="1"/>
  <c r="A519" i="3"/>
  <c r="B519" i="3" s="1"/>
  <c r="L518" i="3"/>
  <c r="U518" i="3" l="1"/>
  <c r="Y517" i="3"/>
  <c r="AD519" i="3"/>
  <c r="AA519" i="3"/>
  <c r="Z519" i="3"/>
  <c r="AC519" i="3"/>
  <c r="P519" i="3"/>
  <c r="Q519" i="3" s="1"/>
  <c r="R519" i="3" s="1"/>
  <c r="S519" i="3" s="1"/>
  <c r="T519" i="3" l="1"/>
  <c r="D519" i="3" s="1"/>
  <c r="AG519" i="3" l="1"/>
  <c r="G519" i="3"/>
  <c r="AH519" i="3"/>
  <c r="E519" i="3"/>
  <c r="H519" i="3" s="1"/>
  <c r="F519" i="3" l="1"/>
  <c r="I519" i="3"/>
  <c r="J519" i="3"/>
  <c r="M519" i="3"/>
  <c r="N519" i="3" s="1"/>
  <c r="K519" i="3"/>
  <c r="AE519" i="3" s="1"/>
  <c r="V519" i="3" l="1"/>
  <c r="W519" i="3" s="1"/>
  <c r="A520" i="3"/>
  <c r="B520" i="3" s="1"/>
  <c r="L519" i="3"/>
  <c r="U519" i="3" l="1"/>
  <c r="Y518" i="3"/>
  <c r="AA520" i="3"/>
  <c r="AC520" i="3"/>
  <c r="Z520" i="3"/>
  <c r="AD520" i="3"/>
  <c r="P520" i="3"/>
  <c r="Q520" i="3" s="1"/>
  <c r="R520" i="3" s="1"/>
  <c r="S520" i="3" s="1"/>
  <c r="T520" i="3" l="1"/>
  <c r="D520" i="3" s="1"/>
  <c r="AG520" i="3" l="1"/>
  <c r="E520" i="3"/>
  <c r="H520" i="3" s="1"/>
  <c r="K520" i="3" s="1"/>
  <c r="AE520" i="3" s="1"/>
  <c r="AH520" i="3"/>
  <c r="G520" i="3"/>
  <c r="F520" i="3" l="1"/>
  <c r="I520" i="3"/>
  <c r="J520" i="3"/>
  <c r="M520" i="3"/>
  <c r="N520" i="3" s="1"/>
  <c r="V520" i="3"/>
  <c r="A521" i="3"/>
  <c r="B521" i="3" s="1"/>
  <c r="W520" i="3" l="1"/>
  <c r="L520" i="3"/>
  <c r="P521" i="3"/>
  <c r="Q521" i="3" s="1"/>
  <c r="R521" i="3" s="1"/>
  <c r="S521" i="3" s="1"/>
  <c r="AC521" i="3"/>
  <c r="AA521" i="3"/>
  <c r="Z521" i="3"/>
  <c r="U520" i="3" l="1"/>
  <c r="Y519" i="3"/>
  <c r="T521" i="3"/>
  <c r="AH521" i="3" s="1"/>
  <c r="AG521" i="3" l="1"/>
  <c r="D521" i="3"/>
  <c r="E521" i="3"/>
  <c r="H521" i="3" s="1"/>
  <c r="K521" i="3" s="1"/>
  <c r="AE521" i="3" s="1"/>
  <c r="F521" i="3" l="1"/>
  <c r="G521" i="3"/>
  <c r="I521" i="3" s="1"/>
  <c r="V521" i="3"/>
  <c r="A522" i="3"/>
  <c r="B522" i="3" s="1"/>
  <c r="M521" i="3" l="1"/>
  <c r="N521" i="3" s="1"/>
  <c r="J521" i="3"/>
  <c r="W521" i="3"/>
  <c r="AC522" i="3"/>
  <c r="P522" i="3"/>
  <c r="Q522" i="3" s="1"/>
  <c r="R522" i="3" s="1"/>
  <c r="S522" i="3" s="1"/>
  <c r="AA522" i="3"/>
  <c r="AD522" i="3"/>
  <c r="Z522" i="3"/>
  <c r="L521" i="3" l="1"/>
  <c r="U521" i="3" s="1"/>
  <c r="AD521" i="3"/>
  <c r="Y520" i="3"/>
  <c r="T522" i="3"/>
  <c r="AG522" i="3" s="1"/>
  <c r="AH522" i="3" l="1"/>
  <c r="E522" i="3"/>
  <c r="H522" i="3" s="1"/>
  <c r="D522" i="3"/>
  <c r="K522" i="3" l="1"/>
  <c r="AE522" i="3" s="1"/>
  <c r="F522" i="3"/>
  <c r="G522" i="3"/>
  <c r="I522" i="3" l="1"/>
  <c r="J522" i="3"/>
  <c r="M522" i="3"/>
  <c r="N522" i="3" s="1"/>
  <c r="V522" i="3"/>
  <c r="A523" i="3"/>
  <c r="B523" i="3" s="1"/>
  <c r="W522" i="3" l="1"/>
  <c r="L522" i="3"/>
  <c r="AC523" i="3"/>
  <c r="Z523" i="3"/>
  <c r="AD523" i="3"/>
  <c r="AA523" i="3"/>
  <c r="P523" i="3"/>
  <c r="Q523" i="3" s="1"/>
  <c r="R523" i="3" s="1"/>
  <c r="S523" i="3" s="1"/>
  <c r="U522" i="3" l="1"/>
  <c r="Y521" i="3"/>
  <c r="T523" i="3"/>
  <c r="AG523" i="3" s="1"/>
  <c r="AH523" i="3" l="1"/>
  <c r="D523" i="3"/>
  <c r="G523" i="3" s="1"/>
  <c r="E523" i="3"/>
  <c r="H523" i="3" s="1"/>
  <c r="F523" i="3" l="1"/>
  <c r="I523" i="3"/>
  <c r="J523" i="3"/>
  <c r="M523" i="3"/>
  <c r="N523" i="3" s="1"/>
  <c r="K523" i="3"/>
  <c r="AE523" i="3" s="1"/>
  <c r="V523" i="3" l="1"/>
  <c r="W523" i="3" s="1"/>
  <c r="A524" i="3"/>
  <c r="B524" i="3" s="1"/>
  <c r="L523" i="3"/>
  <c r="U523" i="3" l="1"/>
  <c r="Y522" i="3"/>
  <c r="Z524" i="3"/>
  <c r="P524" i="3"/>
  <c r="Q524" i="3" s="1"/>
  <c r="R524" i="3" s="1"/>
  <c r="S524" i="3" s="1"/>
  <c r="AC524" i="3"/>
  <c r="AA524" i="3"/>
  <c r="T524" i="3" l="1"/>
  <c r="E524" i="3" s="1"/>
  <c r="H524" i="3" s="1"/>
  <c r="D524" i="3" l="1"/>
  <c r="G524" i="3" s="1"/>
  <c r="K524" i="3"/>
  <c r="AE524" i="3" s="1"/>
  <c r="AH524" i="3"/>
  <c r="AG524" i="3"/>
  <c r="F524" i="3" l="1"/>
  <c r="I524" i="3"/>
  <c r="J524" i="3"/>
  <c r="AD524" i="3" s="1"/>
  <c r="M524" i="3"/>
  <c r="N524" i="3" s="1"/>
  <c r="V524" i="3"/>
  <c r="A525" i="3"/>
  <c r="B525" i="3" s="1"/>
  <c r="W524" i="3" l="1"/>
  <c r="L524" i="3"/>
  <c r="AA525" i="3"/>
  <c r="AC525" i="3"/>
  <c r="AD525" i="3"/>
  <c r="Z525" i="3"/>
  <c r="P525" i="3"/>
  <c r="Q525" i="3" s="1"/>
  <c r="R525" i="3" s="1"/>
  <c r="S525" i="3" s="1"/>
  <c r="T525" i="3" l="1"/>
  <c r="AH525" i="3" s="1"/>
  <c r="U524" i="3"/>
  <c r="Y523" i="3"/>
  <c r="AG525" i="3" l="1"/>
  <c r="D525" i="3"/>
  <c r="E525" i="3"/>
  <c r="H525" i="3" s="1"/>
  <c r="F525" i="3" l="1"/>
  <c r="G525" i="3"/>
  <c r="K525" i="3"/>
  <c r="AE525" i="3" s="1"/>
  <c r="I525" i="3" l="1"/>
  <c r="J525" i="3"/>
  <c r="M525" i="3"/>
  <c r="N525" i="3" s="1"/>
  <c r="V525" i="3"/>
  <c r="A526" i="3"/>
  <c r="B526" i="3" s="1"/>
  <c r="L525" i="3" l="1"/>
  <c r="W525" i="3"/>
  <c r="AA526" i="3"/>
  <c r="P526" i="3"/>
  <c r="Q526" i="3" s="1"/>
  <c r="R526" i="3" s="1"/>
  <c r="S526" i="3" s="1"/>
  <c r="Z526" i="3"/>
  <c r="AD526" i="3"/>
  <c r="AC526" i="3"/>
  <c r="T526" i="3" l="1"/>
  <c r="U525" i="3"/>
  <c r="Y524" i="3"/>
  <c r="D526" i="3" l="1"/>
  <c r="G526" i="3" s="1"/>
  <c r="AH526" i="3"/>
  <c r="E526" i="3"/>
  <c r="H526" i="3" s="1"/>
  <c r="K526" i="3" s="1"/>
  <c r="AE526" i="3" s="1"/>
  <c r="AG526" i="3"/>
  <c r="F526" i="3" l="1"/>
  <c r="V526" i="3"/>
  <c r="A527" i="3"/>
  <c r="B527" i="3" s="1"/>
  <c r="I526" i="3"/>
  <c r="J526" i="3"/>
  <c r="M526" i="3"/>
  <c r="N526" i="3" s="1"/>
  <c r="W526" i="3" l="1"/>
  <c r="L526" i="3"/>
  <c r="Z527" i="3"/>
  <c r="AC527" i="3"/>
  <c r="P527" i="3"/>
  <c r="Q527" i="3" s="1"/>
  <c r="R527" i="3" s="1"/>
  <c r="S527" i="3" s="1"/>
  <c r="AA527" i="3"/>
  <c r="U526" i="3" l="1"/>
  <c r="Y525" i="3"/>
  <c r="T527" i="3"/>
  <c r="D527" i="3" l="1"/>
  <c r="G527" i="3" s="1"/>
  <c r="E527" i="3"/>
  <c r="H527" i="3" s="1"/>
  <c r="AG527" i="3"/>
  <c r="AH527" i="3"/>
  <c r="F527" i="3" l="1"/>
  <c r="I527" i="3"/>
  <c r="J527" i="3"/>
  <c r="AD527" i="3" s="1"/>
  <c r="M527" i="3"/>
  <c r="N527" i="3" s="1"/>
  <c r="K527" i="3"/>
  <c r="AE527" i="3" s="1"/>
  <c r="V527" i="3" l="1"/>
  <c r="W527" i="3" s="1"/>
  <c r="A528" i="3"/>
  <c r="B528" i="3" s="1"/>
  <c r="L527" i="3"/>
  <c r="U527" i="3" l="1"/>
  <c r="Y526" i="3"/>
  <c r="Z528" i="3"/>
  <c r="P528" i="3"/>
  <c r="Q528" i="3" s="1"/>
  <c r="R528" i="3" s="1"/>
  <c r="S528" i="3" s="1"/>
  <c r="AC528" i="3"/>
  <c r="AD528" i="3"/>
  <c r="AA528" i="3"/>
  <c r="T528" i="3" l="1"/>
  <c r="AH528" i="3" s="1"/>
  <c r="D528" i="3" l="1"/>
  <c r="E528" i="3"/>
  <c r="H528" i="3" s="1"/>
  <c r="K528" i="3" s="1"/>
  <c r="AE528" i="3" s="1"/>
  <c r="AG528" i="3"/>
  <c r="F528" i="3" l="1"/>
  <c r="G528" i="3"/>
  <c r="M528" i="3" s="1"/>
  <c r="N528" i="3" s="1"/>
  <c r="V528" i="3"/>
  <c r="A529" i="3"/>
  <c r="B529" i="3" s="1"/>
  <c r="I528" i="3" l="1"/>
  <c r="W528" i="3" s="1"/>
  <c r="J528" i="3"/>
  <c r="L528" i="3" s="1"/>
  <c r="Z529" i="3"/>
  <c r="AC529" i="3"/>
  <c r="AD529" i="3"/>
  <c r="P529" i="3"/>
  <c r="Q529" i="3" s="1"/>
  <c r="R529" i="3" s="1"/>
  <c r="S529" i="3" s="1"/>
  <c r="AA529" i="3"/>
  <c r="U528" i="3" l="1"/>
  <c r="Y527" i="3"/>
  <c r="T529" i="3"/>
  <c r="AG529" i="3" s="1"/>
  <c r="D529" i="3" l="1"/>
  <c r="G529" i="3" s="1"/>
  <c r="AH529" i="3"/>
  <c r="E529" i="3"/>
  <c r="H529" i="3" s="1"/>
  <c r="K529" i="3" s="1"/>
  <c r="AE529" i="3" s="1"/>
  <c r="F529" i="3" l="1"/>
  <c r="I529" i="3"/>
  <c r="J529" i="3"/>
  <c r="M529" i="3"/>
  <c r="N529" i="3" s="1"/>
  <c r="V529" i="3"/>
  <c r="A530" i="3"/>
  <c r="B530" i="3" s="1"/>
  <c r="W529" i="3" l="1"/>
  <c r="L529" i="3"/>
  <c r="Z530" i="3"/>
  <c r="AD530" i="3"/>
  <c r="P530" i="3"/>
  <c r="Q530" i="3" s="1"/>
  <c r="R530" i="3" s="1"/>
  <c r="S530" i="3" s="1"/>
  <c r="AC530" i="3"/>
  <c r="AA530" i="3"/>
  <c r="T530" i="3" l="1"/>
  <c r="AG530" i="3" s="1"/>
  <c r="U529" i="3"/>
  <c r="Y528" i="3"/>
  <c r="D530" i="3" l="1"/>
  <c r="G530" i="3" s="1"/>
  <c r="AH530" i="3"/>
  <c r="E530" i="3"/>
  <c r="H530" i="3" s="1"/>
  <c r="F530" i="3" l="1"/>
  <c r="I530" i="3"/>
  <c r="J530" i="3"/>
  <c r="M530" i="3"/>
  <c r="N530" i="3" s="1"/>
  <c r="K530" i="3"/>
  <c r="AE530" i="3" s="1"/>
  <c r="V530" i="3" l="1"/>
  <c r="W530" i="3" s="1"/>
  <c r="A531" i="3"/>
  <c r="B531" i="3" s="1"/>
  <c r="L530" i="3"/>
  <c r="U530" i="3" l="1"/>
  <c r="Y529" i="3"/>
  <c r="Z531" i="3"/>
  <c r="AC531" i="3"/>
  <c r="AA531" i="3"/>
  <c r="P531" i="3"/>
  <c r="Q531" i="3" s="1"/>
  <c r="R531" i="3" s="1"/>
  <c r="S531" i="3" s="1"/>
  <c r="T531" i="3" l="1"/>
  <c r="AG531" i="3" s="1"/>
  <c r="AH531" i="3" l="1"/>
  <c r="D531" i="3"/>
  <c r="E531" i="3"/>
  <c r="H531" i="3" s="1"/>
  <c r="K531" i="3" l="1"/>
  <c r="AE531" i="3" s="1"/>
  <c r="F531" i="3"/>
  <c r="G531" i="3"/>
  <c r="I531" i="3" l="1"/>
  <c r="J531" i="3"/>
  <c r="AD531" i="3" s="1"/>
  <c r="M531" i="3"/>
  <c r="N531" i="3" s="1"/>
  <c r="V531" i="3"/>
  <c r="A532" i="3"/>
  <c r="B532" i="3" s="1"/>
  <c r="W531" i="3" l="1"/>
  <c r="L531" i="3"/>
  <c r="AD532" i="3"/>
  <c r="AC532" i="3"/>
  <c r="Z532" i="3"/>
  <c r="P532" i="3"/>
  <c r="Q532" i="3" s="1"/>
  <c r="R532" i="3" s="1"/>
  <c r="S532" i="3" s="1"/>
  <c r="AA532" i="3"/>
  <c r="U531" i="3" l="1"/>
  <c r="Y530" i="3"/>
  <c r="T532" i="3"/>
  <c r="AH532" i="3" s="1"/>
  <c r="D532" i="3" l="1"/>
  <c r="G532" i="3" s="1"/>
  <c r="AG532" i="3"/>
  <c r="E532" i="3"/>
  <c r="H532" i="3" s="1"/>
  <c r="K532" i="3" s="1"/>
  <c r="AE532" i="3" s="1"/>
  <c r="F532" i="3" l="1"/>
  <c r="V532" i="3"/>
  <c r="A533" i="3"/>
  <c r="B533" i="3" s="1"/>
  <c r="I532" i="3"/>
  <c r="J532" i="3"/>
  <c r="M532" i="3"/>
  <c r="N532" i="3" s="1"/>
  <c r="W532" i="3" l="1"/>
  <c r="L532" i="3"/>
  <c r="P533" i="3"/>
  <c r="Q533" i="3" s="1"/>
  <c r="R533" i="3" s="1"/>
  <c r="S533" i="3" s="1"/>
  <c r="AD533" i="3"/>
  <c r="AA533" i="3"/>
  <c r="Z533" i="3"/>
  <c r="AC533" i="3"/>
  <c r="T533" i="3" l="1"/>
  <c r="U532" i="3"/>
  <c r="Y531" i="3"/>
  <c r="E533" i="3" l="1"/>
  <c r="H533" i="3" s="1"/>
  <c r="K533" i="3" s="1"/>
  <c r="AE533" i="3" s="1"/>
  <c r="AH533" i="3"/>
  <c r="AG533" i="3"/>
  <c r="D533" i="3"/>
  <c r="F533" i="3" l="1"/>
  <c r="G533" i="3"/>
  <c r="V533" i="3"/>
  <c r="A534" i="3"/>
  <c r="B534" i="3" s="1"/>
  <c r="Z534" i="3" l="1"/>
  <c r="AC534" i="3"/>
  <c r="AA534" i="3"/>
  <c r="P534" i="3"/>
  <c r="Q534" i="3" s="1"/>
  <c r="R534" i="3" s="1"/>
  <c r="S534" i="3" s="1"/>
  <c r="I533" i="3"/>
  <c r="W533" i="3" s="1"/>
  <c r="J533" i="3"/>
  <c r="M533" i="3"/>
  <c r="N533" i="3" s="1"/>
  <c r="L533" i="3" l="1"/>
  <c r="T534" i="3"/>
  <c r="U533" i="3" l="1"/>
  <c r="D534" i="3" s="1"/>
  <c r="AG534" i="3"/>
  <c r="AH534" i="3"/>
  <c r="Y532" i="3"/>
  <c r="E534" i="3" l="1"/>
  <c r="H534" i="3" s="1"/>
  <c r="K534" i="3" s="1"/>
  <c r="AE534" i="3" s="1"/>
  <c r="G534" i="3"/>
  <c r="F534" i="3" l="1"/>
  <c r="V534" i="3"/>
  <c r="A535" i="3"/>
  <c r="B535" i="3" s="1"/>
  <c r="I534" i="3"/>
  <c r="J534" i="3"/>
  <c r="AD534" i="3" s="1"/>
  <c r="M534" i="3"/>
  <c r="N534" i="3" s="1"/>
  <c r="W534" i="3" l="1"/>
  <c r="L534" i="3"/>
  <c r="AA535" i="3"/>
  <c r="AC535" i="3"/>
  <c r="AD535" i="3"/>
  <c r="Z535" i="3"/>
  <c r="P535" i="3"/>
  <c r="Q535" i="3" s="1"/>
  <c r="R535" i="3" s="1"/>
  <c r="S535" i="3" s="1"/>
  <c r="T535" i="3" l="1"/>
  <c r="U534" i="3"/>
  <c r="Y533" i="3"/>
  <c r="D535" i="3" l="1"/>
  <c r="G535" i="3" s="1"/>
  <c r="E535" i="3"/>
  <c r="H535" i="3" s="1"/>
  <c r="K535" i="3" s="1"/>
  <c r="AE535" i="3" s="1"/>
  <c r="AG535" i="3"/>
  <c r="AH535" i="3"/>
  <c r="F535" i="3" l="1"/>
  <c r="V535" i="3"/>
  <c r="A536" i="3"/>
  <c r="B536" i="3" s="1"/>
  <c r="I535" i="3"/>
  <c r="J535" i="3"/>
  <c r="M535" i="3"/>
  <c r="N535" i="3" s="1"/>
  <c r="W535" i="3" l="1"/>
  <c r="L535" i="3"/>
  <c r="AC536" i="3"/>
  <c r="AA536" i="3"/>
  <c r="Z536" i="3"/>
  <c r="P536" i="3"/>
  <c r="Q536" i="3" s="1"/>
  <c r="R536" i="3" s="1"/>
  <c r="S536" i="3" s="1"/>
  <c r="AD536" i="3"/>
  <c r="U535" i="3" l="1"/>
  <c r="Y534" i="3"/>
  <c r="T536" i="3"/>
  <c r="AH536" i="3" s="1"/>
  <c r="AG536" i="3" l="1"/>
  <c r="E536" i="3"/>
  <c r="H536" i="3" s="1"/>
  <c r="D536" i="3"/>
  <c r="K536" i="3" l="1"/>
  <c r="AE536" i="3" s="1"/>
  <c r="F536" i="3"/>
  <c r="G536" i="3"/>
  <c r="I536" i="3" l="1"/>
  <c r="J536" i="3"/>
  <c r="M536" i="3"/>
  <c r="N536" i="3" s="1"/>
  <c r="V536" i="3"/>
  <c r="A537" i="3"/>
  <c r="B537" i="3" s="1"/>
  <c r="W536" i="3" l="1"/>
  <c r="L536" i="3"/>
  <c r="AC537" i="3"/>
  <c r="P537" i="3"/>
  <c r="Q537" i="3" s="1"/>
  <c r="R537" i="3" s="1"/>
  <c r="S537" i="3" s="1"/>
  <c r="Z537" i="3"/>
  <c r="AA537" i="3"/>
  <c r="U536" i="3" l="1"/>
  <c r="Y535" i="3"/>
  <c r="T537" i="3"/>
  <c r="AH537" i="3" s="1"/>
  <c r="AG537" i="3" l="1"/>
  <c r="E537" i="3"/>
  <c r="H537" i="3" s="1"/>
  <c r="D537" i="3"/>
  <c r="K537" i="3" l="1"/>
  <c r="AE537" i="3" s="1"/>
  <c r="F537" i="3"/>
  <c r="G537" i="3"/>
  <c r="I537" i="3" l="1"/>
  <c r="J537" i="3"/>
  <c r="AD537" i="3" s="1"/>
  <c r="M537" i="3"/>
  <c r="N537" i="3" s="1"/>
  <c r="V537" i="3"/>
  <c r="A538" i="3"/>
  <c r="B538" i="3" s="1"/>
  <c r="W537" i="3" l="1"/>
  <c r="L537" i="3"/>
  <c r="AA538" i="3"/>
  <c r="AC538" i="3"/>
  <c r="AD538" i="3"/>
  <c r="Z538" i="3"/>
  <c r="P538" i="3"/>
  <c r="Q538" i="3" s="1"/>
  <c r="R538" i="3" s="1"/>
  <c r="S538" i="3" s="1"/>
  <c r="T538" i="3" l="1"/>
  <c r="U537" i="3"/>
  <c r="Y536" i="3"/>
  <c r="D538" i="3" l="1"/>
  <c r="G538" i="3" s="1"/>
  <c r="AH538" i="3"/>
  <c r="AG538" i="3"/>
  <c r="E538" i="3"/>
  <c r="H538" i="3" s="1"/>
  <c r="F538" i="3" l="1"/>
  <c r="I538" i="3"/>
  <c r="J538" i="3"/>
  <c r="M538" i="3"/>
  <c r="N538" i="3" s="1"/>
  <c r="K538" i="3"/>
  <c r="AE538" i="3" s="1"/>
  <c r="V538" i="3" l="1"/>
  <c r="W538" i="3" s="1"/>
  <c r="A539" i="3"/>
  <c r="B539" i="3" s="1"/>
  <c r="L538" i="3"/>
  <c r="U538" i="3" l="1"/>
  <c r="Y537" i="3"/>
  <c r="Z539" i="3"/>
  <c r="P539" i="3"/>
  <c r="Q539" i="3" s="1"/>
  <c r="R539" i="3" s="1"/>
  <c r="S539" i="3" s="1"/>
  <c r="AD539" i="3"/>
  <c r="AA539" i="3"/>
  <c r="AC539" i="3"/>
  <c r="T539" i="3" l="1"/>
  <c r="AH539" i="3" s="1"/>
  <c r="AG539" i="3" l="1"/>
  <c r="E539" i="3"/>
  <c r="H539" i="3" s="1"/>
  <c r="K539" i="3" s="1"/>
  <c r="AE539" i="3" s="1"/>
  <c r="D539" i="3"/>
  <c r="G539" i="3" s="1"/>
  <c r="F539" i="3" l="1"/>
  <c r="V539" i="3"/>
  <c r="A540" i="3"/>
  <c r="B540" i="3" s="1"/>
  <c r="I539" i="3"/>
  <c r="J539" i="3"/>
  <c r="M539" i="3"/>
  <c r="N539" i="3" s="1"/>
  <c r="W539" i="3" l="1"/>
  <c r="L539" i="3"/>
  <c r="AA540" i="3"/>
  <c r="AC540" i="3"/>
  <c r="Z540" i="3"/>
  <c r="AD540" i="3"/>
  <c r="P540" i="3"/>
  <c r="Q540" i="3" s="1"/>
  <c r="R540" i="3" s="1"/>
  <c r="S540" i="3" s="1"/>
  <c r="U539" i="3" l="1"/>
  <c r="Y538" i="3"/>
  <c r="T540" i="3"/>
  <c r="AG540" i="3" s="1"/>
  <c r="E540" i="3" l="1"/>
  <c r="H540" i="3" s="1"/>
  <c r="D540" i="3"/>
  <c r="AH540" i="3"/>
  <c r="K540" i="3" l="1"/>
  <c r="AE540" i="3" s="1"/>
  <c r="F540" i="3"/>
  <c r="G540" i="3"/>
  <c r="V540" i="3" l="1"/>
  <c r="A541" i="3"/>
  <c r="B541" i="3" s="1"/>
  <c r="I540" i="3"/>
  <c r="J540" i="3"/>
  <c r="M540" i="3"/>
  <c r="N540" i="3" s="1"/>
  <c r="W540" i="3" l="1"/>
  <c r="L540" i="3"/>
  <c r="P541" i="3"/>
  <c r="Q541" i="3" s="1"/>
  <c r="R541" i="3" s="1"/>
  <c r="S541" i="3" s="1"/>
  <c r="AA541" i="3"/>
  <c r="Z541" i="3"/>
  <c r="AC541" i="3"/>
  <c r="U540" i="3" l="1"/>
  <c r="Y539" i="3"/>
  <c r="T541" i="3"/>
  <c r="AG541" i="3" s="1"/>
  <c r="AH541" i="3" l="1"/>
  <c r="E541" i="3"/>
  <c r="H541" i="3" s="1"/>
  <c r="D541" i="3"/>
  <c r="K541" i="3" l="1"/>
  <c r="AE541" i="3" s="1"/>
  <c r="F541" i="3"/>
  <c r="G541" i="3"/>
  <c r="I541" i="3" l="1"/>
  <c r="J541" i="3"/>
  <c r="AD541" i="3" s="1"/>
  <c r="M541" i="3"/>
  <c r="N541" i="3" s="1"/>
  <c r="V541" i="3"/>
  <c r="A542" i="3"/>
  <c r="B542" i="3" s="1"/>
  <c r="W541" i="3" l="1"/>
  <c r="L541" i="3"/>
  <c r="AC542" i="3"/>
  <c r="P542" i="3"/>
  <c r="Q542" i="3" s="1"/>
  <c r="R542" i="3" s="1"/>
  <c r="S542" i="3" s="1"/>
  <c r="AA542" i="3"/>
  <c r="Z542" i="3"/>
  <c r="AD542" i="3"/>
  <c r="T542" i="3" l="1"/>
  <c r="AH542" i="3" s="1"/>
  <c r="U541" i="3"/>
  <c r="Y540" i="3"/>
  <c r="E542" i="3" l="1"/>
  <c r="H542" i="3" s="1"/>
  <c r="K542" i="3" s="1"/>
  <c r="AE542" i="3" s="1"/>
  <c r="AG542" i="3"/>
  <c r="D542" i="3"/>
  <c r="F542" i="3" l="1"/>
  <c r="G542" i="3"/>
  <c r="V542" i="3"/>
  <c r="A543" i="3"/>
  <c r="B543" i="3" s="1"/>
  <c r="P543" i="3" l="1"/>
  <c r="Q543" i="3" s="1"/>
  <c r="R543" i="3" s="1"/>
  <c r="S543" i="3" s="1"/>
  <c r="AD543" i="3"/>
  <c r="Z543" i="3"/>
  <c r="AA543" i="3"/>
  <c r="AC543" i="3"/>
  <c r="I542" i="3"/>
  <c r="W542" i="3" s="1"/>
  <c r="J542" i="3"/>
  <c r="M542" i="3"/>
  <c r="N542" i="3" s="1"/>
  <c r="T543" i="3" l="1"/>
  <c r="L542" i="3"/>
  <c r="AH543" i="3" l="1"/>
  <c r="U542" i="3"/>
  <c r="E543" i="3" s="1"/>
  <c r="H543" i="3" s="1"/>
  <c r="AG543" i="3"/>
  <c r="Y541" i="3"/>
  <c r="D543" i="3" l="1"/>
  <c r="G543" i="3" s="1"/>
  <c r="K543" i="3"/>
  <c r="AE543" i="3" s="1"/>
  <c r="F543" i="3" l="1"/>
  <c r="I543" i="3"/>
  <c r="J543" i="3"/>
  <c r="M543" i="3"/>
  <c r="N543" i="3" s="1"/>
  <c r="V543" i="3"/>
  <c r="A544" i="3"/>
  <c r="B544" i="3" s="1"/>
  <c r="W543" i="3" l="1"/>
  <c r="L543" i="3"/>
  <c r="P544" i="3"/>
  <c r="Q544" i="3" s="1"/>
  <c r="R544" i="3" s="1"/>
  <c r="S544" i="3" s="1"/>
  <c r="Z544" i="3"/>
  <c r="AC544" i="3"/>
  <c r="AA544" i="3"/>
  <c r="U543" i="3" l="1"/>
  <c r="Y542" i="3"/>
  <c r="T544" i="3"/>
  <c r="AG544" i="3" s="1"/>
  <c r="E544" i="3" l="1"/>
  <c r="H544" i="3" s="1"/>
  <c r="D544" i="3"/>
  <c r="AH544" i="3"/>
  <c r="K544" i="3" l="1"/>
  <c r="AE544" i="3" s="1"/>
  <c r="F544" i="3"/>
  <c r="G544" i="3"/>
  <c r="I544" i="3" l="1"/>
  <c r="J544" i="3"/>
  <c r="AD544" i="3" s="1"/>
  <c r="M544" i="3"/>
  <c r="N544" i="3" s="1"/>
  <c r="V544" i="3"/>
  <c r="A545" i="3"/>
  <c r="B545" i="3" s="1"/>
  <c r="W544" i="3" l="1"/>
  <c r="L544" i="3"/>
  <c r="Z545" i="3"/>
  <c r="AA545" i="3"/>
  <c r="AD545" i="3"/>
  <c r="AC545" i="3"/>
  <c r="P545" i="3"/>
  <c r="Q545" i="3" s="1"/>
  <c r="R545" i="3" s="1"/>
  <c r="S545" i="3" s="1"/>
  <c r="U544" i="3" l="1"/>
  <c r="Y543" i="3"/>
  <c r="T545" i="3"/>
  <c r="AH545" i="3" s="1"/>
  <c r="E545" i="3" l="1"/>
  <c r="H545" i="3" s="1"/>
  <c r="K545" i="3" s="1"/>
  <c r="AE545" i="3" s="1"/>
  <c r="D545" i="3"/>
  <c r="AG545" i="3"/>
  <c r="V545" i="3" l="1"/>
  <c r="A546" i="3"/>
  <c r="B546" i="3" s="1"/>
  <c r="F545" i="3"/>
  <c r="G545" i="3"/>
  <c r="I545" i="3" l="1"/>
  <c r="W545" i="3" s="1"/>
  <c r="J545" i="3"/>
  <c r="M545" i="3"/>
  <c r="N545" i="3" s="1"/>
  <c r="AC546" i="3"/>
  <c r="P546" i="3"/>
  <c r="Q546" i="3" s="1"/>
  <c r="R546" i="3" s="1"/>
  <c r="S546" i="3" s="1"/>
  <c r="Z546" i="3"/>
  <c r="AA546" i="3"/>
  <c r="AD546" i="3"/>
  <c r="T546" i="3" l="1"/>
  <c r="L545" i="3"/>
  <c r="U545" i="3" l="1"/>
  <c r="D546" i="3" s="1"/>
  <c r="AG546" i="3"/>
  <c r="AH546" i="3"/>
  <c r="Y544" i="3"/>
  <c r="E546" i="3" l="1"/>
  <c r="H546" i="3" s="1"/>
  <c r="K546" i="3" s="1"/>
  <c r="AE546" i="3" s="1"/>
  <c r="G546" i="3"/>
  <c r="F546" i="3" l="1"/>
  <c r="V546" i="3"/>
  <c r="A547" i="3"/>
  <c r="B547" i="3" s="1"/>
  <c r="I546" i="3"/>
  <c r="J546" i="3"/>
  <c r="M546" i="3"/>
  <c r="N546" i="3" s="1"/>
  <c r="W546" i="3" l="1"/>
  <c r="L546" i="3"/>
  <c r="AC547" i="3"/>
  <c r="P547" i="3"/>
  <c r="Q547" i="3" s="1"/>
  <c r="R547" i="3" s="1"/>
  <c r="S547" i="3" s="1"/>
  <c r="AA547" i="3"/>
  <c r="Z547" i="3"/>
  <c r="U546" i="3" l="1"/>
  <c r="Y545" i="3"/>
  <c r="T547" i="3"/>
  <c r="AG547" i="3" s="1"/>
  <c r="E547" i="3" l="1"/>
  <c r="H547" i="3" s="1"/>
  <c r="K547" i="3" s="1"/>
  <c r="AE547" i="3" s="1"/>
  <c r="D547" i="3"/>
  <c r="G547" i="3" s="1"/>
  <c r="AH547" i="3"/>
  <c r="F547" i="3" l="1"/>
  <c r="I547" i="3"/>
  <c r="J547" i="3"/>
  <c r="AD547" i="3" s="1"/>
  <c r="M547" i="3"/>
  <c r="N547" i="3" s="1"/>
  <c r="V547" i="3"/>
  <c r="A548" i="3"/>
  <c r="B548" i="3" s="1"/>
  <c r="W547" i="3" l="1"/>
  <c r="L547" i="3"/>
  <c r="Z548" i="3"/>
  <c r="AA548" i="3"/>
  <c r="P548" i="3"/>
  <c r="Q548" i="3" s="1"/>
  <c r="R548" i="3" s="1"/>
  <c r="S548" i="3" s="1"/>
  <c r="AC548" i="3"/>
  <c r="AD548" i="3"/>
  <c r="U547" i="3" l="1"/>
  <c r="Y546" i="3"/>
  <c r="T548" i="3"/>
  <c r="E548" i="3" l="1"/>
  <c r="H548" i="3" s="1"/>
  <c r="K548" i="3" s="1"/>
  <c r="AE548" i="3" s="1"/>
  <c r="D548" i="3"/>
  <c r="AG548" i="3"/>
  <c r="AH548" i="3"/>
  <c r="V548" i="3" l="1"/>
  <c r="A549" i="3"/>
  <c r="B549" i="3" s="1"/>
  <c r="F548" i="3"/>
  <c r="G548" i="3"/>
  <c r="I548" i="3" l="1"/>
  <c r="W548" i="3" s="1"/>
  <c r="J548" i="3"/>
  <c r="M548" i="3"/>
  <c r="N548" i="3" s="1"/>
  <c r="P549" i="3"/>
  <c r="Q549" i="3" s="1"/>
  <c r="R549" i="3" s="1"/>
  <c r="S549" i="3" s="1"/>
  <c r="AC549" i="3"/>
  <c r="AA549" i="3"/>
  <c r="Z549" i="3"/>
  <c r="AD549" i="3"/>
  <c r="T549" i="3" l="1"/>
  <c r="L548" i="3"/>
  <c r="AH549" i="3" l="1"/>
  <c r="U548" i="3"/>
  <c r="E549" i="3" s="1"/>
  <c r="H549" i="3" s="1"/>
  <c r="AG549" i="3"/>
  <c r="Y547" i="3"/>
  <c r="K549" i="3" l="1"/>
  <c r="AE549" i="3" s="1"/>
  <c r="D549" i="3"/>
  <c r="V549" i="3" l="1"/>
  <c r="A550" i="3"/>
  <c r="B550" i="3" s="1"/>
  <c r="F549" i="3"/>
  <c r="G549" i="3"/>
  <c r="I549" i="3" l="1"/>
  <c r="W549" i="3" s="1"/>
  <c r="J549" i="3"/>
  <c r="M549" i="3"/>
  <c r="N549" i="3" s="1"/>
  <c r="P550" i="3"/>
  <c r="Q550" i="3" s="1"/>
  <c r="R550" i="3" s="1"/>
  <c r="S550" i="3" s="1"/>
  <c r="AA550" i="3"/>
  <c r="AC550" i="3"/>
  <c r="Z550" i="3"/>
  <c r="AD550" i="3"/>
  <c r="T550" i="3" l="1"/>
  <c r="L549" i="3"/>
  <c r="U549" i="3" l="1"/>
  <c r="D550" i="3" s="1"/>
  <c r="AH550" i="3"/>
  <c r="AG550" i="3"/>
  <c r="Y548" i="3"/>
  <c r="E550" i="3" l="1"/>
  <c r="H550" i="3" s="1"/>
  <c r="K550" i="3" s="1"/>
  <c r="AE550" i="3" s="1"/>
  <c r="G550" i="3"/>
  <c r="F550" i="3" l="1"/>
  <c r="I550" i="3"/>
  <c r="J550" i="3"/>
  <c r="M550" i="3"/>
  <c r="N550" i="3" s="1"/>
  <c r="V550" i="3"/>
  <c r="A551" i="3"/>
  <c r="B551" i="3" s="1"/>
  <c r="W550" i="3" l="1"/>
  <c r="L550" i="3"/>
  <c r="P551" i="3"/>
  <c r="Q551" i="3" s="1"/>
  <c r="R551" i="3" s="1"/>
  <c r="S551" i="3" s="1"/>
  <c r="AC551" i="3"/>
  <c r="AA551" i="3"/>
  <c r="Z551" i="3"/>
  <c r="T551" i="3" l="1"/>
  <c r="AG551" i="3" s="1"/>
  <c r="U550" i="3"/>
  <c r="Y549" i="3"/>
  <c r="D551" i="3" l="1"/>
  <c r="G551" i="3" s="1"/>
  <c r="AH551" i="3"/>
  <c r="E551" i="3"/>
  <c r="H551" i="3" s="1"/>
  <c r="F551" i="3" l="1"/>
  <c r="I551" i="3"/>
  <c r="J551" i="3"/>
  <c r="AD551" i="3" s="1"/>
  <c r="M551" i="3"/>
  <c r="N551" i="3" s="1"/>
  <c r="K551" i="3"/>
  <c r="AE551" i="3" s="1"/>
  <c r="V551" i="3" l="1"/>
  <c r="W551" i="3" s="1"/>
  <c r="A552" i="3"/>
  <c r="B552" i="3" s="1"/>
  <c r="L551" i="3"/>
  <c r="U551" i="3" l="1"/>
  <c r="Y550" i="3"/>
  <c r="AA552" i="3"/>
  <c r="P552" i="3"/>
  <c r="Q552" i="3" s="1"/>
  <c r="R552" i="3" s="1"/>
  <c r="S552" i="3" s="1"/>
  <c r="AC552" i="3"/>
  <c r="Z552" i="3"/>
  <c r="AD552" i="3"/>
  <c r="T552" i="3" l="1"/>
  <c r="D552" i="3" s="1"/>
  <c r="AG552" i="3" l="1"/>
  <c r="AH552" i="3"/>
  <c r="E552" i="3"/>
  <c r="H552" i="3" s="1"/>
  <c r="K552" i="3" s="1"/>
  <c r="AE552" i="3" s="1"/>
  <c r="G552" i="3"/>
  <c r="F552" i="3" l="1"/>
  <c r="I552" i="3"/>
  <c r="J552" i="3"/>
  <c r="M552" i="3"/>
  <c r="N552" i="3" s="1"/>
  <c r="V552" i="3"/>
  <c r="A553" i="3"/>
  <c r="B553" i="3" s="1"/>
  <c r="W552" i="3" l="1"/>
  <c r="L552" i="3"/>
  <c r="P553" i="3"/>
  <c r="Q553" i="3" s="1"/>
  <c r="R553" i="3" s="1"/>
  <c r="S553" i="3" s="1"/>
  <c r="Z553" i="3"/>
  <c r="AC553" i="3"/>
  <c r="AA553" i="3"/>
  <c r="AD553" i="3"/>
  <c r="T553" i="3" l="1"/>
  <c r="U552" i="3"/>
  <c r="Y551" i="3"/>
  <c r="D553" i="3" l="1"/>
  <c r="G553" i="3" s="1"/>
  <c r="AH553" i="3"/>
  <c r="AG553" i="3"/>
  <c r="E553" i="3"/>
  <c r="H553" i="3" s="1"/>
  <c r="K553" i="3" l="1"/>
  <c r="AE553" i="3" s="1"/>
  <c r="F553" i="3"/>
  <c r="I553" i="3"/>
  <c r="J553" i="3"/>
  <c r="M553" i="3"/>
  <c r="N553" i="3" s="1"/>
  <c r="V553" i="3" l="1"/>
  <c r="W553" i="3" s="1"/>
  <c r="A554" i="3"/>
  <c r="B554" i="3" s="1"/>
  <c r="L553" i="3"/>
  <c r="U553" i="3" l="1"/>
  <c r="Y552" i="3"/>
  <c r="AA554" i="3"/>
  <c r="AC554" i="3"/>
  <c r="P554" i="3"/>
  <c r="Q554" i="3" s="1"/>
  <c r="R554" i="3" s="1"/>
  <c r="S554" i="3" s="1"/>
  <c r="Z554" i="3"/>
  <c r="T554" i="3" l="1"/>
  <c r="AH554" i="3" s="1"/>
  <c r="E554" i="3" l="1"/>
  <c r="H554" i="3" s="1"/>
  <c r="K554" i="3" s="1"/>
  <c r="AE554" i="3" s="1"/>
  <c r="AG554" i="3"/>
  <c r="D554" i="3"/>
  <c r="V554" i="3" l="1"/>
  <c r="A555" i="3"/>
  <c r="B555" i="3" s="1"/>
  <c r="F554" i="3"/>
  <c r="G554" i="3"/>
  <c r="I554" i="3" l="1"/>
  <c r="W554" i="3" s="1"/>
  <c r="J554" i="3"/>
  <c r="AD554" i="3" s="1"/>
  <c r="M554" i="3"/>
  <c r="N554" i="3" s="1"/>
  <c r="AA555" i="3"/>
  <c r="Z555" i="3"/>
  <c r="AC555" i="3"/>
  <c r="P555" i="3"/>
  <c r="Q555" i="3" s="1"/>
  <c r="R555" i="3" s="1"/>
  <c r="S555" i="3" s="1"/>
  <c r="AD555" i="3"/>
  <c r="L554" i="3" l="1"/>
  <c r="T555" i="3"/>
  <c r="U554" i="3" l="1"/>
  <c r="E555" i="3" s="1"/>
  <c r="H555" i="3" s="1"/>
  <c r="AG555" i="3"/>
  <c r="AH555" i="3"/>
  <c r="Y553" i="3"/>
  <c r="K555" i="3" l="1"/>
  <c r="AE555" i="3" s="1"/>
  <c r="D555" i="3"/>
  <c r="F555" i="3" l="1"/>
  <c r="G555" i="3"/>
  <c r="V555" i="3"/>
  <c r="A556" i="3"/>
  <c r="B556" i="3" s="1"/>
  <c r="P556" i="3" l="1"/>
  <c r="Q556" i="3" s="1"/>
  <c r="R556" i="3" s="1"/>
  <c r="S556" i="3" s="1"/>
  <c r="AA556" i="3"/>
  <c r="AD556" i="3"/>
  <c r="Z556" i="3"/>
  <c r="AC556" i="3"/>
  <c r="I555" i="3"/>
  <c r="W555" i="3" s="1"/>
  <c r="J555" i="3"/>
  <c r="M555" i="3"/>
  <c r="N555" i="3" s="1"/>
  <c r="T556" i="3" l="1"/>
  <c r="L555" i="3"/>
  <c r="AH556" i="3" l="1"/>
  <c r="U555" i="3"/>
  <c r="D556" i="3" s="1"/>
  <c r="AG556" i="3"/>
  <c r="Y554" i="3"/>
  <c r="E556" i="3" l="1"/>
  <c r="H556" i="3" s="1"/>
  <c r="K556" i="3" s="1"/>
  <c r="AE556" i="3" s="1"/>
  <c r="G556" i="3"/>
  <c r="F556" i="3" l="1"/>
  <c r="I556" i="3"/>
  <c r="J556" i="3"/>
  <c r="M556" i="3"/>
  <c r="N556" i="3" s="1"/>
  <c r="V556" i="3"/>
  <c r="A557" i="3"/>
  <c r="B557" i="3" s="1"/>
  <c r="W556" i="3" l="1"/>
  <c r="L556" i="3"/>
  <c r="P557" i="3"/>
  <c r="Q557" i="3" s="1"/>
  <c r="R557" i="3" s="1"/>
  <c r="S557" i="3" s="1"/>
  <c r="AA557" i="3"/>
  <c r="AC557" i="3"/>
  <c r="Z557" i="3"/>
  <c r="U556" i="3" l="1"/>
  <c r="Y555" i="3"/>
  <c r="T557" i="3"/>
  <c r="AH557" i="3" s="1"/>
  <c r="D557" i="3" l="1"/>
  <c r="G557" i="3" s="1"/>
  <c r="AG557" i="3"/>
  <c r="E557" i="3"/>
  <c r="H557" i="3" s="1"/>
  <c r="K557" i="3" s="1"/>
  <c r="AE557" i="3" s="1"/>
  <c r="F557" i="3" l="1"/>
  <c r="I557" i="3"/>
  <c r="J557" i="3"/>
  <c r="AD557" i="3" s="1"/>
  <c r="M557" i="3"/>
  <c r="N557" i="3" s="1"/>
  <c r="V557" i="3"/>
  <c r="A558" i="3"/>
  <c r="B558" i="3" s="1"/>
  <c r="W557" i="3" l="1"/>
  <c r="L557" i="3"/>
  <c r="AA558" i="3"/>
  <c r="AD558" i="3"/>
  <c r="P558" i="3"/>
  <c r="Q558" i="3" s="1"/>
  <c r="R558" i="3" s="1"/>
  <c r="S558" i="3" s="1"/>
  <c r="Z558" i="3"/>
  <c r="AC558" i="3"/>
  <c r="T558" i="3" l="1"/>
  <c r="AG558" i="3" s="1"/>
  <c r="U557" i="3"/>
  <c r="Y556" i="3"/>
  <c r="E558" i="3" l="1"/>
  <c r="H558" i="3" s="1"/>
  <c r="AH558" i="3"/>
  <c r="D558" i="3"/>
  <c r="F558" i="3" l="1"/>
  <c r="G558" i="3"/>
  <c r="K558" i="3"/>
  <c r="AE558" i="3" s="1"/>
  <c r="I558" i="3" l="1"/>
  <c r="J558" i="3"/>
  <c r="M558" i="3"/>
  <c r="N558" i="3" s="1"/>
  <c r="V558" i="3"/>
  <c r="A559" i="3"/>
  <c r="B559" i="3" s="1"/>
  <c r="W558" i="3" l="1"/>
  <c r="L558" i="3"/>
  <c r="AC559" i="3"/>
  <c r="P559" i="3"/>
  <c r="Q559" i="3" s="1"/>
  <c r="R559" i="3" s="1"/>
  <c r="S559" i="3" s="1"/>
  <c r="AA559" i="3"/>
  <c r="Z559" i="3"/>
  <c r="AD559" i="3"/>
  <c r="T559" i="3" l="1"/>
  <c r="U558" i="3"/>
  <c r="Y557" i="3"/>
  <c r="E559" i="3" l="1"/>
  <c r="H559" i="3" s="1"/>
  <c r="K559" i="3" s="1"/>
  <c r="AE559" i="3" s="1"/>
  <c r="AH559" i="3"/>
  <c r="AG559" i="3"/>
  <c r="D559" i="3"/>
  <c r="V559" i="3" l="1"/>
  <c r="A560" i="3"/>
  <c r="B560" i="3" s="1"/>
  <c r="F559" i="3"/>
  <c r="G559" i="3"/>
  <c r="I559" i="3" l="1"/>
  <c r="W559" i="3" s="1"/>
  <c r="J559" i="3"/>
  <c r="M559" i="3"/>
  <c r="N559" i="3" s="1"/>
  <c r="AD560" i="3"/>
  <c r="Z560" i="3"/>
  <c r="AC560" i="3"/>
  <c r="AA560" i="3"/>
  <c r="P560" i="3"/>
  <c r="Q560" i="3" s="1"/>
  <c r="R560" i="3" s="1"/>
  <c r="S560" i="3" s="1"/>
  <c r="T560" i="3" l="1"/>
  <c r="L559" i="3"/>
  <c r="AG560" i="3" l="1"/>
  <c r="U559" i="3"/>
  <c r="D560" i="3" s="1"/>
  <c r="AH560" i="3"/>
  <c r="Y558" i="3"/>
  <c r="E560" i="3" l="1"/>
  <c r="H560" i="3" s="1"/>
  <c r="K560" i="3" s="1"/>
  <c r="AE560" i="3" s="1"/>
  <c r="G560" i="3"/>
  <c r="F560" i="3" l="1"/>
  <c r="V560" i="3"/>
  <c r="A561" i="3"/>
  <c r="B561" i="3" s="1"/>
  <c r="I560" i="3"/>
  <c r="J560" i="3"/>
  <c r="M560" i="3"/>
  <c r="N560" i="3" s="1"/>
  <c r="W560" i="3" l="1"/>
  <c r="L560" i="3"/>
  <c r="AA561" i="3"/>
  <c r="P561" i="3"/>
  <c r="Q561" i="3" s="1"/>
  <c r="R561" i="3" s="1"/>
  <c r="S561" i="3" s="1"/>
  <c r="Z561" i="3"/>
  <c r="AC561" i="3"/>
  <c r="U560" i="3" l="1"/>
  <c r="Y559" i="3"/>
  <c r="T561" i="3"/>
  <c r="E561" i="3" l="1"/>
  <c r="H561" i="3" s="1"/>
  <c r="K561" i="3" s="1"/>
  <c r="AE561" i="3" s="1"/>
  <c r="D561" i="3"/>
  <c r="AH561" i="3"/>
  <c r="AG561" i="3"/>
  <c r="F561" i="3" l="1"/>
  <c r="G561" i="3"/>
  <c r="M561" i="3" s="1"/>
  <c r="N561" i="3" s="1"/>
  <c r="V561" i="3"/>
  <c r="A562" i="3"/>
  <c r="B562" i="3" s="1"/>
  <c r="I561" i="3" l="1"/>
  <c r="W561" i="3" s="1"/>
  <c r="J561" i="3"/>
  <c r="Z562" i="3"/>
  <c r="AA562" i="3"/>
  <c r="AD562" i="3"/>
  <c r="P562" i="3"/>
  <c r="Q562" i="3" s="1"/>
  <c r="R562" i="3" s="1"/>
  <c r="S562" i="3" s="1"/>
  <c r="AC562" i="3"/>
  <c r="L561" i="3" l="1"/>
  <c r="U561" i="3" s="1"/>
  <c r="AD561" i="3"/>
  <c r="T562" i="3"/>
  <c r="AH562" i="3" s="1"/>
  <c r="Y560" i="3" l="1"/>
  <c r="AG562" i="3"/>
  <c r="E562" i="3"/>
  <c r="H562" i="3" s="1"/>
  <c r="K562" i="3" s="1"/>
  <c r="AE562" i="3" s="1"/>
  <c r="D562" i="3"/>
  <c r="F562" i="3" l="1"/>
  <c r="G562" i="3"/>
  <c r="J562" i="3" s="1"/>
  <c r="V562" i="3"/>
  <c r="A563" i="3"/>
  <c r="B563" i="3" s="1"/>
  <c r="M562" i="3" l="1"/>
  <c r="N562" i="3" s="1"/>
  <c r="I562" i="3"/>
  <c r="W562" i="3" s="1"/>
  <c r="L562" i="3"/>
  <c r="Z563" i="3"/>
  <c r="P563" i="3"/>
  <c r="Q563" i="3" s="1"/>
  <c r="R563" i="3" s="1"/>
  <c r="S563" i="3" s="1"/>
  <c r="AC563" i="3"/>
  <c r="AA563" i="3"/>
  <c r="AD563" i="3"/>
  <c r="U562" i="3" l="1"/>
  <c r="Y561" i="3"/>
  <c r="T563" i="3"/>
  <c r="AH563" i="3" s="1"/>
  <c r="AG563" i="3" l="1"/>
  <c r="D563" i="3"/>
  <c r="E563" i="3"/>
  <c r="H563" i="3" s="1"/>
  <c r="K563" i="3" s="1"/>
  <c r="AE563" i="3" s="1"/>
  <c r="F563" i="3" l="1"/>
  <c r="G563" i="3"/>
  <c r="M563" i="3" s="1"/>
  <c r="N563" i="3" s="1"/>
  <c r="V563" i="3"/>
  <c r="A564" i="3"/>
  <c r="B564" i="3" s="1"/>
  <c r="I563" i="3" l="1"/>
  <c r="W563" i="3" s="1"/>
  <c r="J563" i="3"/>
  <c r="L563" i="3" s="1"/>
  <c r="Z564" i="3"/>
  <c r="P564" i="3"/>
  <c r="Q564" i="3" s="1"/>
  <c r="R564" i="3" s="1"/>
  <c r="S564" i="3" s="1"/>
  <c r="AC564" i="3"/>
  <c r="AA564" i="3"/>
  <c r="U563" i="3" l="1"/>
  <c r="Y562" i="3"/>
  <c r="T564" i="3"/>
  <c r="AH564" i="3" s="1"/>
  <c r="D564" i="3" l="1"/>
  <c r="E564" i="3"/>
  <c r="H564" i="3" s="1"/>
  <c r="AG564" i="3"/>
  <c r="K564" i="3" l="1"/>
  <c r="AE564" i="3" s="1"/>
  <c r="F564" i="3"/>
  <c r="G564" i="3"/>
  <c r="V564" i="3" l="1"/>
  <c r="A565" i="3"/>
  <c r="B565" i="3" s="1"/>
  <c r="I564" i="3"/>
  <c r="J564" i="3"/>
  <c r="AD564" i="3" s="1"/>
  <c r="M564" i="3"/>
  <c r="N564" i="3" s="1"/>
  <c r="W564" i="3" l="1"/>
  <c r="L564" i="3"/>
  <c r="Z565" i="3"/>
  <c r="AC565" i="3"/>
  <c r="P565" i="3"/>
  <c r="Q565" i="3" s="1"/>
  <c r="R565" i="3" s="1"/>
  <c r="S565" i="3" s="1"/>
  <c r="AA565" i="3"/>
  <c r="AD565" i="3"/>
  <c r="U564" i="3" l="1"/>
  <c r="Y563" i="3"/>
  <c r="T565" i="3"/>
  <c r="E565" i="3" l="1"/>
  <c r="H565" i="3" s="1"/>
  <c r="K565" i="3" s="1"/>
  <c r="AE565" i="3" s="1"/>
  <c r="D565" i="3"/>
  <c r="AG565" i="3"/>
  <c r="AH565" i="3"/>
  <c r="V565" i="3" l="1"/>
  <c r="A566" i="3"/>
  <c r="B566" i="3" s="1"/>
  <c r="F565" i="3"/>
  <c r="G565" i="3"/>
  <c r="I565" i="3" l="1"/>
  <c r="W565" i="3" s="1"/>
  <c r="J565" i="3"/>
  <c r="M565" i="3"/>
  <c r="N565" i="3" s="1"/>
  <c r="AD566" i="3"/>
  <c r="Z566" i="3"/>
  <c r="AA566" i="3"/>
  <c r="P566" i="3"/>
  <c r="Q566" i="3" s="1"/>
  <c r="R566" i="3" s="1"/>
  <c r="S566" i="3" s="1"/>
  <c r="AC566" i="3"/>
  <c r="L565" i="3" l="1"/>
  <c r="T566" i="3"/>
  <c r="AG566" i="3" l="1"/>
  <c r="AH566" i="3"/>
  <c r="U565" i="3"/>
  <c r="D566" i="3" s="1"/>
  <c r="Y564" i="3"/>
  <c r="G566" i="3" l="1"/>
  <c r="E566" i="3"/>
  <c r="H566" i="3" s="1"/>
  <c r="F566" i="3" l="1"/>
  <c r="I566" i="3"/>
  <c r="J566" i="3"/>
  <c r="M566" i="3"/>
  <c r="N566" i="3" s="1"/>
  <c r="K566" i="3"/>
  <c r="AE566" i="3" s="1"/>
  <c r="V566" i="3" l="1"/>
  <c r="W566" i="3" s="1"/>
  <c r="A567" i="3"/>
  <c r="B567" i="3" s="1"/>
  <c r="L566" i="3"/>
  <c r="U566" i="3" l="1"/>
  <c r="Y565" i="3"/>
  <c r="P567" i="3"/>
  <c r="Q567" i="3" s="1"/>
  <c r="R567" i="3" s="1"/>
  <c r="S567" i="3" s="1"/>
  <c r="AA567" i="3"/>
  <c r="Z567" i="3"/>
  <c r="AC567" i="3"/>
  <c r="T567" i="3" l="1"/>
  <c r="AG567" i="3" s="1"/>
  <c r="AH567" i="3" l="1"/>
  <c r="E567" i="3"/>
  <c r="H567" i="3" s="1"/>
  <c r="K567" i="3" s="1"/>
  <c r="AE567" i="3" s="1"/>
  <c r="D567" i="3"/>
  <c r="G567" i="3" s="1"/>
  <c r="F567" i="3" l="1"/>
  <c r="I567" i="3"/>
  <c r="J567" i="3"/>
  <c r="AD567" i="3" s="1"/>
  <c r="M567" i="3"/>
  <c r="N567" i="3" s="1"/>
  <c r="V567" i="3"/>
  <c r="A568" i="3"/>
  <c r="B568" i="3" s="1"/>
  <c r="W567" i="3" l="1"/>
  <c r="L567" i="3"/>
  <c r="AC568" i="3"/>
  <c r="AD568" i="3"/>
  <c r="P568" i="3"/>
  <c r="Q568" i="3" s="1"/>
  <c r="R568" i="3" s="1"/>
  <c r="S568" i="3" s="1"/>
  <c r="AA568" i="3"/>
  <c r="Z568" i="3"/>
  <c r="U567" i="3" l="1"/>
  <c r="Y566" i="3"/>
  <c r="T568" i="3"/>
  <c r="AG568" i="3" s="1"/>
  <c r="D568" i="3" l="1"/>
  <c r="G568" i="3" s="1"/>
  <c r="E568" i="3"/>
  <c r="H568" i="3" s="1"/>
  <c r="K568" i="3" s="1"/>
  <c r="AE568" i="3" s="1"/>
  <c r="AH568" i="3"/>
  <c r="F568" i="3" l="1"/>
  <c r="V568" i="3"/>
  <c r="A569" i="3"/>
  <c r="B569" i="3" s="1"/>
  <c r="I568" i="3"/>
  <c r="J568" i="3"/>
  <c r="M568" i="3"/>
  <c r="N568" i="3" s="1"/>
  <c r="L568" i="3" l="1"/>
  <c r="W568" i="3"/>
  <c r="AA569" i="3"/>
  <c r="AD569" i="3"/>
  <c r="P569" i="3"/>
  <c r="Q569" i="3" s="1"/>
  <c r="R569" i="3" s="1"/>
  <c r="S569" i="3" s="1"/>
  <c r="AC569" i="3"/>
  <c r="Z569" i="3"/>
  <c r="T569" i="3" l="1"/>
  <c r="AH569" i="3" s="1"/>
  <c r="U568" i="3"/>
  <c r="Y567" i="3"/>
  <c r="D569" i="3" l="1"/>
  <c r="G569" i="3" s="1"/>
  <c r="AG569" i="3"/>
  <c r="E569" i="3"/>
  <c r="H569" i="3" s="1"/>
  <c r="F569" i="3" l="1"/>
  <c r="I569" i="3"/>
  <c r="J569" i="3"/>
  <c r="M569" i="3"/>
  <c r="N569" i="3" s="1"/>
  <c r="K569" i="3"/>
  <c r="AE569" i="3" s="1"/>
  <c r="L569" i="3" l="1"/>
  <c r="V569" i="3"/>
  <c r="W569" i="3" s="1"/>
  <c r="A570" i="3"/>
  <c r="B570" i="3" s="1"/>
  <c r="AC570" i="3" l="1"/>
  <c r="P570" i="3"/>
  <c r="Q570" i="3" s="1"/>
  <c r="R570" i="3" s="1"/>
  <c r="S570" i="3" s="1"/>
  <c r="AD570" i="3"/>
  <c r="Z570" i="3"/>
  <c r="AA570" i="3"/>
  <c r="U569" i="3"/>
  <c r="Y568" i="3"/>
  <c r="T570" i="3" l="1"/>
  <c r="D570" i="3" l="1"/>
  <c r="E570" i="3"/>
  <c r="H570" i="3" s="1"/>
  <c r="AG570" i="3"/>
  <c r="AH570" i="3"/>
  <c r="F570" i="3" l="1"/>
  <c r="G570" i="3"/>
  <c r="K570" i="3"/>
  <c r="AE570" i="3" s="1"/>
  <c r="V570" i="3" l="1"/>
  <c r="A571" i="3"/>
  <c r="B571" i="3" s="1"/>
  <c r="I570" i="3"/>
  <c r="J570" i="3"/>
  <c r="M570" i="3"/>
  <c r="N570" i="3" s="1"/>
  <c r="W570" i="3" l="1"/>
  <c r="L570" i="3"/>
  <c r="P571" i="3"/>
  <c r="Q571" i="3" s="1"/>
  <c r="R571" i="3" s="1"/>
  <c r="S571" i="3" s="1"/>
  <c r="AA571" i="3"/>
  <c r="Z571" i="3"/>
  <c r="AC571" i="3"/>
  <c r="U570" i="3" l="1"/>
  <c r="Y569" i="3"/>
  <c r="T571" i="3"/>
  <c r="D571" i="3" l="1"/>
  <c r="G571" i="3" s="1"/>
  <c r="AG571" i="3"/>
  <c r="AH571" i="3"/>
  <c r="E571" i="3"/>
  <c r="H571" i="3" s="1"/>
  <c r="K571" i="3" s="1"/>
  <c r="AE571" i="3" s="1"/>
  <c r="F571" i="3" l="1"/>
  <c r="V571" i="3"/>
  <c r="A572" i="3"/>
  <c r="B572" i="3" s="1"/>
  <c r="I571" i="3"/>
  <c r="J571" i="3"/>
  <c r="AD571" i="3" s="1"/>
  <c r="M571" i="3"/>
  <c r="N571" i="3" s="1"/>
  <c r="W571" i="3" l="1"/>
  <c r="L571" i="3"/>
  <c r="AC572" i="3"/>
  <c r="AD572" i="3"/>
  <c r="P572" i="3"/>
  <c r="Q572" i="3" s="1"/>
  <c r="R572" i="3" s="1"/>
  <c r="S572" i="3" s="1"/>
  <c r="AA572" i="3"/>
  <c r="Z572" i="3"/>
  <c r="T572" i="3" l="1"/>
  <c r="AH572" i="3" s="1"/>
  <c r="U571" i="3"/>
  <c r="Y570" i="3"/>
  <c r="E572" i="3" l="1"/>
  <c r="H572" i="3" s="1"/>
  <c r="AG572" i="3"/>
  <c r="D572" i="3"/>
  <c r="F572" i="3" l="1"/>
  <c r="G572" i="3"/>
  <c r="K572" i="3"/>
  <c r="AE572" i="3" s="1"/>
  <c r="V572" i="3" l="1"/>
  <c r="A573" i="3"/>
  <c r="B573" i="3" s="1"/>
  <c r="I572" i="3"/>
  <c r="J572" i="3"/>
  <c r="M572" i="3"/>
  <c r="N572" i="3" s="1"/>
  <c r="W572" i="3" l="1"/>
  <c r="L572" i="3"/>
  <c r="P573" i="3"/>
  <c r="Q573" i="3" s="1"/>
  <c r="R573" i="3" s="1"/>
  <c r="S573" i="3" s="1"/>
  <c r="Z573" i="3"/>
  <c r="AC573" i="3"/>
  <c r="AA573" i="3"/>
  <c r="AD573" i="3"/>
  <c r="U572" i="3" l="1"/>
  <c r="Y571" i="3"/>
  <c r="T573" i="3"/>
  <c r="E573" i="3" l="1"/>
  <c r="H573" i="3" s="1"/>
  <c r="K573" i="3" s="1"/>
  <c r="AE573" i="3" s="1"/>
  <c r="D573" i="3"/>
  <c r="AH573" i="3"/>
  <c r="AG573" i="3"/>
  <c r="F573" i="3" l="1"/>
  <c r="G573" i="3"/>
  <c r="I573" i="3" s="1"/>
  <c r="V573" i="3"/>
  <c r="A574" i="3"/>
  <c r="B574" i="3" s="1"/>
  <c r="J573" i="3" l="1"/>
  <c r="L573" i="3" s="1"/>
  <c r="M573" i="3"/>
  <c r="N573" i="3" s="1"/>
  <c r="W573" i="3"/>
  <c r="AA574" i="3"/>
  <c r="Z574" i="3"/>
  <c r="P574" i="3"/>
  <c r="Q574" i="3" s="1"/>
  <c r="R574" i="3" s="1"/>
  <c r="S574" i="3" s="1"/>
  <c r="AC574" i="3"/>
  <c r="U573" i="3" l="1"/>
  <c r="Y572" i="3"/>
  <c r="T574" i="3"/>
  <c r="AH574" i="3" s="1"/>
  <c r="D574" i="3" l="1"/>
  <c r="G574" i="3" s="1"/>
  <c r="AG574" i="3"/>
  <c r="E574" i="3"/>
  <c r="H574" i="3" s="1"/>
  <c r="K574" i="3" l="1"/>
  <c r="AE574" i="3" s="1"/>
  <c r="I574" i="3"/>
  <c r="J574" i="3"/>
  <c r="AD574" i="3" s="1"/>
  <c r="M574" i="3"/>
  <c r="N574" i="3" s="1"/>
  <c r="F574" i="3"/>
  <c r="V574" i="3" l="1"/>
  <c r="W574" i="3" s="1"/>
  <c r="A575" i="3"/>
  <c r="B575" i="3" s="1"/>
  <c r="L574" i="3"/>
  <c r="U574" i="3" l="1"/>
  <c r="Y573" i="3"/>
  <c r="P575" i="3"/>
  <c r="Q575" i="3" s="1"/>
  <c r="R575" i="3" s="1"/>
  <c r="S575" i="3" s="1"/>
  <c r="Z575" i="3"/>
  <c r="AC575" i="3"/>
  <c r="AA575" i="3"/>
  <c r="AD575" i="3"/>
  <c r="T575" i="3" l="1"/>
  <c r="AH575" i="3" s="1"/>
  <c r="AG575" i="3" l="1"/>
  <c r="E575" i="3"/>
  <c r="H575" i="3" s="1"/>
  <c r="D575" i="3"/>
  <c r="K575" i="3" l="1"/>
  <c r="AE575" i="3" s="1"/>
  <c r="F575" i="3"/>
  <c r="G575" i="3"/>
  <c r="V575" i="3" l="1"/>
  <c r="A576" i="3"/>
  <c r="B576" i="3" s="1"/>
  <c r="I575" i="3"/>
  <c r="J575" i="3"/>
  <c r="M575" i="3"/>
  <c r="N575" i="3" s="1"/>
  <c r="W575" i="3" l="1"/>
  <c r="L575" i="3"/>
  <c r="AA576" i="3"/>
  <c r="P576" i="3"/>
  <c r="Q576" i="3" s="1"/>
  <c r="R576" i="3" s="1"/>
  <c r="S576" i="3" s="1"/>
  <c r="AD576" i="3"/>
  <c r="Z576" i="3"/>
  <c r="AC576" i="3"/>
  <c r="U575" i="3" l="1"/>
  <c r="Y574" i="3"/>
  <c r="T576" i="3"/>
  <c r="E576" i="3" l="1"/>
  <c r="H576" i="3" s="1"/>
  <c r="K576" i="3" s="1"/>
  <c r="AE576" i="3" s="1"/>
  <c r="AH576" i="3"/>
  <c r="D576" i="3"/>
  <c r="G576" i="3" s="1"/>
  <c r="AG576" i="3"/>
  <c r="F576" i="3" l="1"/>
  <c r="V576" i="3"/>
  <c r="A577" i="3"/>
  <c r="B577" i="3" s="1"/>
  <c r="I576" i="3"/>
  <c r="J576" i="3"/>
  <c r="M576" i="3"/>
  <c r="N576" i="3" s="1"/>
  <c r="W576" i="3" l="1"/>
  <c r="L576" i="3"/>
  <c r="P577" i="3"/>
  <c r="Q577" i="3" s="1"/>
  <c r="R577" i="3" s="1"/>
  <c r="S577" i="3" s="1"/>
  <c r="AC577" i="3"/>
  <c r="AA577" i="3"/>
  <c r="Z577" i="3"/>
  <c r="U576" i="3" l="1"/>
  <c r="Y575" i="3"/>
  <c r="T577" i="3"/>
  <c r="AH577" i="3" s="1"/>
  <c r="E577" i="3" l="1"/>
  <c r="H577" i="3" s="1"/>
  <c r="K577" i="3" s="1"/>
  <c r="AE577" i="3" s="1"/>
  <c r="AG577" i="3"/>
  <c r="D577" i="3"/>
  <c r="F577" i="3" l="1"/>
  <c r="G577" i="3"/>
  <c r="J577" i="3" s="1"/>
  <c r="AD577" i="3" s="1"/>
  <c r="V577" i="3"/>
  <c r="A578" i="3"/>
  <c r="B578" i="3" s="1"/>
  <c r="M577" i="3" l="1"/>
  <c r="N577" i="3" s="1"/>
  <c r="I577" i="3"/>
  <c r="W577" i="3" s="1"/>
  <c r="L577" i="3"/>
  <c r="AC578" i="3"/>
  <c r="AD578" i="3"/>
  <c r="P578" i="3"/>
  <c r="Q578" i="3" s="1"/>
  <c r="R578" i="3" s="1"/>
  <c r="S578" i="3" s="1"/>
  <c r="Z578" i="3"/>
  <c r="AA578" i="3"/>
  <c r="U577" i="3" l="1"/>
  <c r="Y576" i="3"/>
  <c r="T578" i="3"/>
  <c r="AG578" i="3" s="1"/>
  <c r="D578" i="3" l="1"/>
  <c r="G578" i="3" s="1"/>
  <c r="AH578" i="3"/>
  <c r="E578" i="3"/>
  <c r="H578" i="3" s="1"/>
  <c r="K578" i="3" s="1"/>
  <c r="AE578" i="3" s="1"/>
  <c r="F578" i="3" l="1"/>
  <c r="I578" i="3"/>
  <c r="J578" i="3"/>
  <c r="M578" i="3"/>
  <c r="N578" i="3" s="1"/>
  <c r="V578" i="3"/>
  <c r="A579" i="3"/>
  <c r="B579" i="3" s="1"/>
  <c r="W578" i="3" l="1"/>
  <c r="L578" i="3"/>
  <c r="AC579" i="3"/>
  <c r="Z579" i="3"/>
  <c r="P579" i="3"/>
  <c r="Q579" i="3" s="1"/>
  <c r="R579" i="3" s="1"/>
  <c r="S579" i="3" s="1"/>
  <c r="AD579" i="3"/>
  <c r="AA579" i="3"/>
  <c r="U578" i="3" l="1"/>
  <c r="Y577" i="3"/>
  <c r="T579" i="3"/>
  <c r="AG579" i="3" s="1"/>
  <c r="E579" i="3" l="1"/>
  <c r="H579" i="3" s="1"/>
  <c r="K579" i="3" s="1"/>
  <c r="AE579" i="3" s="1"/>
  <c r="AH579" i="3"/>
  <c r="D579" i="3"/>
  <c r="F579" i="3" l="1"/>
  <c r="G579" i="3"/>
  <c r="M579" i="3" s="1"/>
  <c r="N579" i="3" s="1"/>
  <c r="V579" i="3"/>
  <c r="A580" i="3"/>
  <c r="B580" i="3" s="1"/>
  <c r="I579" i="3" l="1"/>
  <c r="W579" i="3" s="1"/>
  <c r="J579" i="3"/>
  <c r="L579" i="3" s="1"/>
  <c r="AD580" i="3"/>
  <c r="P580" i="3"/>
  <c r="Q580" i="3" s="1"/>
  <c r="R580" i="3" s="1"/>
  <c r="S580" i="3" s="1"/>
  <c r="AA580" i="3"/>
  <c r="AC580" i="3"/>
  <c r="Z580" i="3"/>
  <c r="U579" i="3" l="1"/>
  <c r="Y578" i="3"/>
  <c r="T580" i="3"/>
  <c r="AH580" i="3" s="1"/>
  <c r="E580" i="3" l="1"/>
  <c r="H580" i="3" s="1"/>
  <c r="D580" i="3"/>
  <c r="AG580" i="3"/>
  <c r="K580" i="3" l="1"/>
  <c r="AE580" i="3" s="1"/>
  <c r="F580" i="3"/>
  <c r="G580" i="3"/>
  <c r="I580" i="3" l="1"/>
  <c r="J580" i="3"/>
  <c r="M580" i="3"/>
  <c r="N580" i="3" s="1"/>
  <c r="V580" i="3"/>
  <c r="A581" i="3"/>
  <c r="B581" i="3" s="1"/>
  <c r="W580" i="3" l="1"/>
  <c r="P581" i="3"/>
  <c r="Q581" i="3" s="1"/>
  <c r="R581" i="3" s="1"/>
  <c r="S581" i="3" s="1"/>
  <c r="Z581" i="3"/>
  <c r="AA581" i="3"/>
  <c r="AC581" i="3"/>
  <c r="L580" i="3"/>
  <c r="T581" i="3" l="1"/>
  <c r="AH581" i="3" s="1"/>
  <c r="U580" i="3"/>
  <c r="Y579" i="3"/>
  <c r="D581" i="3" l="1"/>
  <c r="G581" i="3" s="1"/>
  <c r="AG581" i="3"/>
  <c r="E581" i="3"/>
  <c r="H581" i="3" s="1"/>
  <c r="I581" i="3" l="1"/>
  <c r="J581" i="3"/>
  <c r="AD581" i="3" s="1"/>
  <c r="M581" i="3"/>
  <c r="N581" i="3" s="1"/>
  <c r="F581" i="3"/>
  <c r="K581" i="3"/>
  <c r="AE581" i="3" s="1"/>
  <c r="L581" i="3" l="1"/>
  <c r="V581" i="3"/>
  <c r="W581" i="3" s="1"/>
  <c r="A582" i="3"/>
  <c r="B582" i="3" s="1"/>
  <c r="P582" i="3" l="1"/>
  <c r="Q582" i="3" s="1"/>
  <c r="R582" i="3" s="1"/>
  <c r="S582" i="3" s="1"/>
  <c r="Z582" i="3"/>
  <c r="AD582" i="3"/>
  <c r="AC582" i="3"/>
  <c r="AA582" i="3"/>
  <c r="U581" i="3"/>
  <c r="Y580" i="3"/>
  <c r="T582" i="3" l="1"/>
  <c r="AH582" i="3" s="1"/>
  <c r="E582" i="3" l="1"/>
  <c r="H582" i="3" s="1"/>
  <c r="K582" i="3" s="1"/>
  <c r="AE582" i="3" s="1"/>
  <c r="AG582" i="3"/>
  <c r="D582" i="3"/>
  <c r="V582" i="3" l="1"/>
  <c r="A583" i="3"/>
  <c r="B583" i="3" s="1"/>
  <c r="F582" i="3"/>
  <c r="G582" i="3"/>
  <c r="I582" i="3" l="1"/>
  <c r="W582" i="3" s="1"/>
  <c r="J582" i="3"/>
  <c r="M582" i="3"/>
  <c r="N582" i="3" s="1"/>
  <c r="AD583" i="3"/>
  <c r="AA583" i="3"/>
  <c r="Z583" i="3"/>
  <c r="P583" i="3"/>
  <c r="Q583" i="3" s="1"/>
  <c r="R583" i="3" s="1"/>
  <c r="S583" i="3" s="1"/>
  <c r="AC583" i="3"/>
  <c r="T583" i="3" l="1"/>
  <c r="L582" i="3"/>
  <c r="U582" i="3" l="1"/>
  <c r="E583" i="3" s="1"/>
  <c r="H583" i="3" s="1"/>
  <c r="AG583" i="3"/>
  <c r="AH583" i="3"/>
  <c r="Y581" i="3"/>
  <c r="D583" i="3" l="1"/>
  <c r="G583" i="3" s="1"/>
  <c r="K583" i="3"/>
  <c r="AE583" i="3" s="1"/>
  <c r="F583" i="3" l="1"/>
  <c r="V583" i="3"/>
  <c r="A584" i="3"/>
  <c r="B584" i="3" s="1"/>
  <c r="I583" i="3"/>
  <c r="J583" i="3"/>
  <c r="M583" i="3"/>
  <c r="N583" i="3" s="1"/>
  <c r="W583" i="3" l="1"/>
  <c r="L583" i="3"/>
  <c r="AC584" i="3"/>
  <c r="P584" i="3"/>
  <c r="Q584" i="3" s="1"/>
  <c r="R584" i="3" s="1"/>
  <c r="S584" i="3" s="1"/>
  <c r="AA584" i="3"/>
  <c r="Z584" i="3"/>
  <c r="U583" i="3" l="1"/>
  <c r="Y582" i="3"/>
  <c r="T584" i="3"/>
  <c r="AG584" i="3" s="1"/>
  <c r="E584" i="3" l="1"/>
  <c r="H584" i="3" s="1"/>
  <c r="K584" i="3" s="1"/>
  <c r="AE584" i="3" s="1"/>
  <c r="AH584" i="3"/>
  <c r="D584" i="3"/>
  <c r="V584" i="3" l="1"/>
  <c r="A585" i="3"/>
  <c r="B585" i="3" s="1"/>
  <c r="F584" i="3"/>
  <c r="G584" i="3"/>
  <c r="Z585" i="3" l="1"/>
  <c r="AA585" i="3"/>
  <c r="P585" i="3"/>
  <c r="Q585" i="3" s="1"/>
  <c r="R585" i="3" s="1"/>
  <c r="S585" i="3" s="1"/>
  <c r="AD585" i="3"/>
  <c r="AC585" i="3"/>
  <c r="I584" i="3"/>
  <c r="W584" i="3" s="1"/>
  <c r="J584" i="3"/>
  <c r="AD584" i="3" s="1"/>
  <c r="M584" i="3"/>
  <c r="N584" i="3" s="1"/>
  <c r="T585" i="3" l="1"/>
  <c r="L584" i="3"/>
  <c r="AG585" i="3" l="1"/>
  <c r="U584" i="3"/>
  <c r="D585" i="3" s="1"/>
  <c r="AH585" i="3"/>
  <c r="Y583" i="3"/>
  <c r="G585" i="3" l="1"/>
  <c r="E585" i="3"/>
  <c r="H585" i="3" s="1"/>
  <c r="F585" i="3" l="1"/>
  <c r="I585" i="3"/>
  <c r="J585" i="3"/>
  <c r="M585" i="3"/>
  <c r="N585" i="3" s="1"/>
  <c r="K585" i="3"/>
  <c r="AE585" i="3" s="1"/>
  <c r="V585" i="3" l="1"/>
  <c r="W585" i="3" s="1"/>
  <c r="A586" i="3"/>
  <c r="B586" i="3" s="1"/>
  <c r="L585" i="3"/>
  <c r="U585" i="3" l="1"/>
  <c r="Y584" i="3"/>
  <c r="P586" i="3"/>
  <c r="Q586" i="3" s="1"/>
  <c r="R586" i="3" s="1"/>
  <c r="S586" i="3" s="1"/>
  <c r="AA586" i="3"/>
  <c r="Z586" i="3"/>
  <c r="AD586" i="3"/>
  <c r="AC586" i="3"/>
  <c r="T586" i="3" l="1"/>
  <c r="E586" i="3" s="1"/>
  <c r="H586" i="3" s="1"/>
  <c r="AH586" i="3" l="1"/>
  <c r="K586" i="3"/>
  <c r="AE586" i="3" s="1"/>
  <c r="AG586" i="3"/>
  <c r="D586" i="3"/>
  <c r="F586" i="3" l="1"/>
  <c r="G586" i="3"/>
  <c r="V586" i="3"/>
  <c r="A587" i="3"/>
  <c r="B587" i="3" s="1"/>
  <c r="AA587" i="3" l="1"/>
  <c r="Z587" i="3"/>
  <c r="AC587" i="3"/>
  <c r="P587" i="3"/>
  <c r="Q587" i="3" s="1"/>
  <c r="R587" i="3" s="1"/>
  <c r="S587" i="3" s="1"/>
  <c r="I586" i="3"/>
  <c r="W586" i="3" s="1"/>
  <c r="J586" i="3"/>
  <c r="M586" i="3"/>
  <c r="N586" i="3" s="1"/>
  <c r="T587" i="3" l="1"/>
  <c r="L586" i="3"/>
  <c r="AH587" i="3" l="1"/>
  <c r="U586" i="3"/>
  <c r="D587" i="3" s="1"/>
  <c r="AG587" i="3"/>
  <c r="Y585" i="3"/>
  <c r="G587" i="3" l="1"/>
  <c r="E587" i="3"/>
  <c r="H587" i="3" s="1"/>
  <c r="F587" i="3" l="1"/>
  <c r="K587" i="3"/>
  <c r="AE587" i="3" s="1"/>
  <c r="I587" i="3"/>
  <c r="J587" i="3"/>
  <c r="AD587" i="3" s="1"/>
  <c r="M587" i="3"/>
  <c r="N587" i="3" s="1"/>
  <c r="L587" i="3" l="1"/>
  <c r="V587" i="3"/>
  <c r="W587" i="3" s="1"/>
  <c r="A588" i="3"/>
  <c r="B588" i="3" s="1"/>
  <c r="U587" i="3" l="1"/>
  <c r="Y586" i="3"/>
  <c r="P588" i="3"/>
  <c r="Q588" i="3" s="1"/>
  <c r="R588" i="3" s="1"/>
  <c r="S588" i="3" s="1"/>
  <c r="AD588" i="3"/>
  <c r="Z588" i="3"/>
  <c r="AC588" i="3"/>
  <c r="AA588" i="3"/>
  <c r="T588" i="3" l="1"/>
  <c r="AH588" i="3" s="1"/>
  <c r="E588" i="3" l="1"/>
  <c r="H588" i="3" s="1"/>
  <c r="K588" i="3" s="1"/>
  <c r="AE588" i="3" s="1"/>
  <c r="AG588" i="3"/>
  <c r="D588" i="3"/>
  <c r="G588" i="3" s="1"/>
  <c r="F588" i="3" l="1"/>
  <c r="I588" i="3"/>
  <c r="J588" i="3"/>
  <c r="M588" i="3"/>
  <c r="N588" i="3" s="1"/>
  <c r="V588" i="3"/>
  <c r="A589" i="3"/>
  <c r="B589" i="3" s="1"/>
  <c r="W588" i="3" l="1"/>
  <c r="L588" i="3"/>
  <c r="AA589" i="3"/>
  <c r="Z589" i="3"/>
  <c r="AC589" i="3"/>
  <c r="P589" i="3"/>
  <c r="Q589" i="3" s="1"/>
  <c r="R589" i="3" s="1"/>
  <c r="S589" i="3" s="1"/>
  <c r="AD589" i="3"/>
  <c r="T589" i="3" l="1"/>
  <c r="AG589" i="3" s="1"/>
  <c r="U588" i="3"/>
  <c r="Y587" i="3"/>
  <c r="AH589" i="3" l="1"/>
  <c r="D589" i="3"/>
  <c r="E589" i="3"/>
  <c r="H589" i="3" s="1"/>
  <c r="F589" i="3" l="1"/>
  <c r="G589" i="3"/>
  <c r="K589" i="3"/>
  <c r="AE589" i="3" s="1"/>
  <c r="I589" i="3" l="1"/>
  <c r="J589" i="3"/>
  <c r="M589" i="3"/>
  <c r="N589" i="3" s="1"/>
  <c r="V589" i="3"/>
  <c r="A590" i="3"/>
  <c r="B590" i="3" s="1"/>
  <c r="W589" i="3" l="1"/>
  <c r="L589" i="3"/>
  <c r="P590" i="3"/>
  <c r="Q590" i="3" s="1"/>
  <c r="R590" i="3" s="1"/>
  <c r="S590" i="3" s="1"/>
  <c r="AC590" i="3"/>
  <c r="AA590" i="3"/>
  <c r="Z590" i="3"/>
  <c r="AD590" i="3"/>
  <c r="U589" i="3" l="1"/>
  <c r="Y588" i="3"/>
  <c r="T590" i="3"/>
  <c r="AH590" i="3" s="1"/>
  <c r="D590" i="3" l="1"/>
  <c r="G590" i="3" s="1"/>
  <c r="E590" i="3"/>
  <c r="H590" i="3" s="1"/>
  <c r="K590" i="3" s="1"/>
  <c r="AE590" i="3" s="1"/>
  <c r="AG590" i="3"/>
  <c r="F590" i="3" l="1"/>
  <c r="V590" i="3"/>
  <c r="A591" i="3"/>
  <c r="B591" i="3" s="1"/>
  <c r="I590" i="3"/>
  <c r="J590" i="3"/>
  <c r="M590" i="3"/>
  <c r="N590" i="3" s="1"/>
  <c r="W590" i="3" l="1"/>
  <c r="L590" i="3"/>
  <c r="AC591" i="3"/>
  <c r="P591" i="3"/>
  <c r="Q591" i="3" s="1"/>
  <c r="R591" i="3" s="1"/>
  <c r="S591" i="3" s="1"/>
  <c r="Z591" i="3"/>
  <c r="AA591" i="3"/>
  <c r="U590" i="3" l="1"/>
  <c r="Y589" i="3"/>
  <c r="T591" i="3"/>
  <c r="AG591" i="3" s="1"/>
  <c r="D591" i="3" l="1"/>
  <c r="G591" i="3" s="1"/>
  <c r="E591" i="3"/>
  <c r="H591" i="3" s="1"/>
  <c r="K591" i="3" s="1"/>
  <c r="AE591" i="3" s="1"/>
  <c r="AH591" i="3"/>
  <c r="F591" i="3" l="1"/>
  <c r="I591" i="3"/>
  <c r="J591" i="3"/>
  <c r="AD591" i="3" s="1"/>
  <c r="M591" i="3"/>
  <c r="N591" i="3" s="1"/>
  <c r="V591" i="3"/>
  <c r="A592" i="3"/>
  <c r="B592" i="3" s="1"/>
  <c r="W591" i="3" l="1"/>
  <c r="L591" i="3"/>
  <c r="AA592" i="3"/>
  <c r="AC592" i="3"/>
  <c r="Z592" i="3"/>
  <c r="AD592" i="3"/>
  <c r="P592" i="3"/>
  <c r="Q592" i="3" s="1"/>
  <c r="R592" i="3" s="1"/>
  <c r="S592" i="3" s="1"/>
  <c r="U591" i="3" l="1"/>
  <c r="Y590" i="3"/>
  <c r="T592" i="3"/>
  <c r="D592" i="3" l="1"/>
  <c r="G592" i="3" s="1"/>
  <c r="AH592" i="3"/>
  <c r="AG592" i="3"/>
  <c r="E592" i="3"/>
  <c r="H592" i="3" s="1"/>
  <c r="K592" i="3" s="1"/>
  <c r="AE592" i="3" s="1"/>
  <c r="F592" i="3" l="1"/>
  <c r="I592" i="3"/>
  <c r="J592" i="3"/>
  <c r="M592" i="3"/>
  <c r="N592" i="3" s="1"/>
  <c r="V592" i="3"/>
  <c r="A593" i="3"/>
  <c r="B593" i="3" s="1"/>
  <c r="W592" i="3" l="1"/>
  <c r="L592" i="3"/>
  <c r="Z593" i="3"/>
  <c r="P593" i="3"/>
  <c r="Q593" i="3" s="1"/>
  <c r="R593" i="3" s="1"/>
  <c r="S593" i="3" s="1"/>
  <c r="AD593" i="3"/>
  <c r="AA593" i="3"/>
  <c r="AC593" i="3"/>
  <c r="U592" i="3" l="1"/>
  <c r="Y591" i="3"/>
  <c r="T593" i="3"/>
  <c r="E593" i="3" l="1"/>
  <c r="H593" i="3" s="1"/>
  <c r="K593" i="3" s="1"/>
  <c r="AE593" i="3" s="1"/>
  <c r="D593" i="3"/>
  <c r="G593" i="3" s="1"/>
  <c r="AH593" i="3"/>
  <c r="AG593" i="3"/>
  <c r="F593" i="3" l="1"/>
  <c r="I593" i="3"/>
  <c r="J593" i="3"/>
  <c r="M593" i="3"/>
  <c r="N593" i="3" s="1"/>
  <c r="V593" i="3"/>
  <c r="A594" i="3"/>
  <c r="B594" i="3" s="1"/>
  <c r="W593" i="3" l="1"/>
  <c r="L593" i="3"/>
  <c r="Z594" i="3"/>
  <c r="AA594" i="3"/>
  <c r="P594" i="3"/>
  <c r="Q594" i="3" s="1"/>
  <c r="R594" i="3" s="1"/>
  <c r="S594" i="3" s="1"/>
  <c r="AC594" i="3"/>
  <c r="U593" i="3" l="1"/>
  <c r="Y592" i="3"/>
  <c r="T594" i="3"/>
  <c r="AG594" i="3" s="1"/>
  <c r="AH594" i="3" l="1"/>
  <c r="E594" i="3"/>
  <c r="H594" i="3" s="1"/>
  <c r="K594" i="3" s="1"/>
  <c r="AE594" i="3" s="1"/>
  <c r="D594" i="3"/>
  <c r="V594" i="3" l="1"/>
  <c r="A595" i="3"/>
  <c r="B595" i="3" s="1"/>
  <c r="F594" i="3"/>
  <c r="G594" i="3"/>
  <c r="I594" i="3" l="1"/>
  <c r="W594" i="3" s="1"/>
  <c r="J594" i="3"/>
  <c r="AD594" i="3" s="1"/>
  <c r="M594" i="3"/>
  <c r="N594" i="3" s="1"/>
  <c r="AC595" i="3"/>
  <c r="AA595" i="3"/>
  <c r="P595" i="3"/>
  <c r="Q595" i="3" s="1"/>
  <c r="R595" i="3" s="1"/>
  <c r="S595" i="3" s="1"/>
  <c r="Z595" i="3"/>
  <c r="AD595" i="3"/>
  <c r="T595" i="3" l="1"/>
  <c r="L594" i="3"/>
  <c r="AH595" i="3" l="1"/>
  <c r="U594" i="3"/>
  <c r="E595" i="3" s="1"/>
  <c r="H595" i="3" s="1"/>
  <c r="AG595" i="3"/>
  <c r="Y593" i="3"/>
  <c r="D595" i="3" l="1"/>
  <c r="G595" i="3" s="1"/>
  <c r="K595" i="3"/>
  <c r="AE595" i="3" s="1"/>
  <c r="F595" i="3" l="1"/>
  <c r="V595" i="3"/>
  <c r="A596" i="3"/>
  <c r="B596" i="3" s="1"/>
  <c r="I595" i="3"/>
  <c r="J595" i="3"/>
  <c r="M595" i="3"/>
  <c r="N595" i="3" s="1"/>
  <c r="W595" i="3" l="1"/>
  <c r="L595" i="3"/>
  <c r="P596" i="3"/>
  <c r="Q596" i="3" s="1"/>
  <c r="R596" i="3" s="1"/>
  <c r="S596" i="3" s="1"/>
  <c r="AA596" i="3"/>
  <c r="AC596" i="3"/>
  <c r="AD596" i="3"/>
  <c r="Z596" i="3"/>
  <c r="T596" i="3" l="1"/>
  <c r="AG596" i="3" s="1"/>
  <c r="U595" i="3"/>
  <c r="Y594" i="3"/>
  <c r="D596" i="3" l="1"/>
  <c r="E596" i="3"/>
  <c r="H596" i="3" s="1"/>
  <c r="AH596" i="3"/>
  <c r="F596" i="3" l="1"/>
  <c r="G596" i="3"/>
  <c r="K596" i="3"/>
  <c r="AE596" i="3" s="1"/>
  <c r="V596" i="3" l="1"/>
  <c r="A597" i="3"/>
  <c r="B597" i="3" s="1"/>
  <c r="I596" i="3"/>
  <c r="J596" i="3"/>
  <c r="M596" i="3"/>
  <c r="N596" i="3" s="1"/>
  <c r="W596" i="3" l="1"/>
  <c r="L596" i="3"/>
  <c r="Z597" i="3"/>
  <c r="P597" i="3"/>
  <c r="Q597" i="3" s="1"/>
  <c r="R597" i="3" s="1"/>
  <c r="S597" i="3" s="1"/>
  <c r="AA597" i="3"/>
  <c r="AC597" i="3"/>
  <c r="U596" i="3" l="1"/>
  <c r="Y595" i="3"/>
  <c r="T597" i="3"/>
  <c r="E597" i="3" l="1"/>
  <c r="H597" i="3" s="1"/>
  <c r="K597" i="3" s="1"/>
  <c r="AE597" i="3" s="1"/>
  <c r="AH597" i="3"/>
  <c r="AG597" i="3"/>
  <c r="D597" i="3"/>
  <c r="G597" i="3" s="1"/>
  <c r="F597" i="3" l="1"/>
  <c r="I597" i="3"/>
  <c r="J597" i="3"/>
  <c r="AD597" i="3" s="1"/>
  <c r="M597" i="3"/>
  <c r="N597" i="3" s="1"/>
  <c r="V597" i="3"/>
  <c r="A598" i="3"/>
  <c r="B598" i="3" s="1"/>
  <c r="W597" i="3" l="1"/>
  <c r="L597" i="3"/>
  <c r="AC598" i="3"/>
  <c r="P598" i="3"/>
  <c r="Q598" i="3" s="1"/>
  <c r="R598" i="3" s="1"/>
  <c r="S598" i="3" s="1"/>
  <c r="Z598" i="3"/>
  <c r="AA598" i="3"/>
  <c r="AD598" i="3"/>
  <c r="U597" i="3" l="1"/>
  <c r="Y596" i="3"/>
  <c r="T598" i="3"/>
  <c r="AG598" i="3" s="1"/>
  <c r="AH598" i="3" l="1"/>
  <c r="E598" i="3"/>
  <c r="H598" i="3" s="1"/>
  <c r="K598" i="3" s="1"/>
  <c r="AE598" i="3" s="1"/>
  <c r="D598" i="3"/>
  <c r="V598" i="3" l="1"/>
  <c r="A599" i="3"/>
  <c r="B599" i="3" s="1"/>
  <c r="F598" i="3"/>
  <c r="G598" i="3"/>
  <c r="I598" i="3" l="1"/>
  <c r="W598" i="3" s="1"/>
  <c r="J598" i="3"/>
  <c r="M598" i="3"/>
  <c r="N598" i="3" s="1"/>
  <c r="AC599" i="3"/>
  <c r="AA599" i="3"/>
  <c r="P599" i="3"/>
  <c r="Q599" i="3" s="1"/>
  <c r="R599" i="3" s="1"/>
  <c r="S599" i="3" s="1"/>
  <c r="AD599" i="3"/>
  <c r="Z599" i="3"/>
  <c r="T599" i="3" l="1"/>
  <c r="L598" i="3"/>
  <c r="U598" i="3" l="1"/>
  <c r="D599" i="3" s="1"/>
  <c r="AG599" i="3"/>
  <c r="AH599" i="3"/>
  <c r="Y597" i="3"/>
  <c r="G599" i="3" l="1"/>
  <c r="E599" i="3"/>
  <c r="H599" i="3" s="1"/>
  <c r="I599" i="3" l="1"/>
  <c r="J599" i="3"/>
  <c r="M599" i="3"/>
  <c r="N599" i="3" s="1"/>
  <c r="K599" i="3"/>
  <c r="AE599" i="3" s="1"/>
  <c r="F599" i="3"/>
  <c r="V599" i="3" l="1"/>
  <c r="W599" i="3" s="1"/>
  <c r="A600" i="3"/>
  <c r="B600" i="3" s="1"/>
  <c r="L599" i="3"/>
  <c r="U599" i="3" l="1"/>
  <c r="Y598" i="3"/>
  <c r="AC600" i="3"/>
  <c r="P600" i="3"/>
  <c r="Q600" i="3" s="1"/>
  <c r="R600" i="3" s="1"/>
  <c r="S600" i="3" s="1"/>
  <c r="Z600" i="3"/>
  <c r="AA600" i="3"/>
  <c r="AD600" i="3"/>
  <c r="T600" i="3" l="1"/>
  <c r="E600" i="3" s="1"/>
  <c r="H600" i="3" s="1"/>
  <c r="AH600" i="3" l="1"/>
  <c r="K600" i="3"/>
  <c r="AE600" i="3" s="1"/>
  <c r="AG600" i="3"/>
  <c r="D600" i="3"/>
  <c r="V600" i="3" l="1"/>
  <c r="A601" i="3"/>
  <c r="B601" i="3" s="1"/>
  <c r="F600" i="3"/>
  <c r="G600" i="3"/>
  <c r="I600" i="3" l="1"/>
  <c r="W600" i="3" s="1"/>
  <c r="J600" i="3"/>
  <c r="M600" i="3"/>
  <c r="N600" i="3" s="1"/>
  <c r="P601" i="3"/>
  <c r="Q601" i="3" s="1"/>
  <c r="R601" i="3" s="1"/>
  <c r="S601" i="3" s="1"/>
  <c r="AA601" i="3"/>
  <c r="AC601" i="3"/>
  <c r="Z601" i="3"/>
  <c r="T601" i="3" l="1"/>
  <c r="L600" i="3"/>
  <c r="AH601" i="3" l="1"/>
  <c r="U600" i="3"/>
  <c r="D601" i="3" s="1"/>
  <c r="AG601" i="3"/>
  <c r="Y599" i="3"/>
  <c r="E601" i="3" l="1"/>
  <c r="H601" i="3" s="1"/>
  <c r="K601" i="3" s="1"/>
  <c r="AE601" i="3" s="1"/>
  <c r="G601" i="3"/>
  <c r="F601" i="3" l="1"/>
  <c r="I601" i="3"/>
  <c r="J601" i="3"/>
  <c r="AD601" i="3" s="1"/>
  <c r="M601" i="3"/>
  <c r="N601" i="3" s="1"/>
  <c r="V601" i="3"/>
  <c r="A602" i="3"/>
  <c r="B602" i="3" s="1"/>
  <c r="W601" i="3" l="1"/>
  <c r="L601" i="3"/>
  <c r="P602" i="3"/>
  <c r="Q602" i="3" s="1"/>
  <c r="R602" i="3" s="1"/>
  <c r="S602" i="3" s="1"/>
  <c r="Z602" i="3"/>
  <c r="AC602" i="3"/>
  <c r="AD602" i="3"/>
  <c r="AA602" i="3"/>
  <c r="U601" i="3" l="1"/>
  <c r="Y600" i="3"/>
  <c r="T602" i="3"/>
  <c r="AG602" i="3" s="1"/>
  <c r="D602" i="3" l="1"/>
  <c r="E602" i="3"/>
  <c r="H602" i="3" s="1"/>
  <c r="AH602" i="3"/>
  <c r="K602" i="3" l="1"/>
  <c r="AE602" i="3" s="1"/>
  <c r="F602" i="3"/>
  <c r="G602" i="3"/>
  <c r="I602" i="3" l="1"/>
  <c r="J602" i="3"/>
  <c r="M602" i="3"/>
  <c r="N602" i="3" s="1"/>
  <c r="V602" i="3"/>
  <c r="A603" i="3"/>
  <c r="B603" i="3" s="1"/>
  <c r="W602" i="3" l="1"/>
  <c r="L602" i="3"/>
  <c r="AA603" i="3"/>
  <c r="AC603" i="3"/>
  <c r="AD603" i="3"/>
  <c r="Z603" i="3"/>
  <c r="P603" i="3"/>
  <c r="Q603" i="3" s="1"/>
  <c r="R603" i="3" s="1"/>
  <c r="S603" i="3" s="1"/>
  <c r="U602" i="3" l="1"/>
  <c r="Y601" i="3"/>
  <c r="T603" i="3"/>
  <c r="AG603" i="3" s="1"/>
  <c r="AH603" i="3" l="1"/>
  <c r="D603" i="3"/>
  <c r="G603" i="3" s="1"/>
  <c r="E603" i="3"/>
  <c r="H603" i="3" s="1"/>
  <c r="K603" i="3" s="1"/>
  <c r="AE603" i="3" s="1"/>
  <c r="F603" i="3" l="1"/>
  <c r="I603" i="3"/>
  <c r="J603" i="3"/>
  <c r="M603" i="3"/>
  <c r="N603" i="3" s="1"/>
  <c r="V603" i="3"/>
  <c r="A604" i="3"/>
  <c r="B604" i="3" s="1"/>
  <c r="W603" i="3" l="1"/>
  <c r="L603" i="3"/>
  <c r="AC604" i="3"/>
  <c r="Z604" i="3"/>
  <c r="AA604" i="3"/>
  <c r="P604" i="3"/>
  <c r="Q604" i="3" s="1"/>
  <c r="R604" i="3" s="1"/>
  <c r="S604" i="3" s="1"/>
  <c r="U603" i="3" l="1"/>
  <c r="Y602" i="3"/>
  <c r="T604" i="3"/>
  <c r="AH604" i="3" s="1"/>
  <c r="D604" i="3" l="1"/>
  <c r="E604" i="3"/>
  <c r="H604" i="3" s="1"/>
  <c r="AG604" i="3"/>
  <c r="F604" i="3" l="1"/>
  <c r="G604" i="3"/>
  <c r="K604" i="3"/>
  <c r="AE604" i="3" s="1"/>
  <c r="V604" i="3" l="1"/>
  <c r="A605" i="3"/>
  <c r="B605" i="3" s="1"/>
  <c r="I604" i="3"/>
  <c r="J604" i="3"/>
  <c r="AD604" i="3" s="1"/>
  <c r="M604" i="3"/>
  <c r="N604" i="3" s="1"/>
  <c r="W604" i="3" l="1"/>
  <c r="L604" i="3"/>
  <c r="P605" i="3"/>
  <c r="Q605" i="3" s="1"/>
  <c r="R605" i="3" s="1"/>
  <c r="S605" i="3" s="1"/>
  <c r="Z605" i="3"/>
  <c r="AA605" i="3"/>
  <c r="AD605" i="3"/>
  <c r="AC605" i="3"/>
  <c r="U604" i="3" l="1"/>
  <c r="Y603" i="3"/>
  <c r="T605" i="3"/>
  <c r="AG605" i="3" s="1"/>
  <c r="AH605" i="3" l="1"/>
  <c r="D605" i="3"/>
  <c r="E605" i="3"/>
  <c r="H605" i="3" s="1"/>
  <c r="K605" i="3" s="1"/>
  <c r="AE605" i="3" s="1"/>
  <c r="F605" i="3" l="1"/>
  <c r="G605" i="3"/>
  <c r="M605" i="3" s="1"/>
  <c r="N605" i="3" s="1"/>
  <c r="V605" i="3"/>
  <c r="A606" i="3"/>
  <c r="B606" i="3" s="1"/>
  <c r="I605" i="3" l="1"/>
  <c r="W605" i="3" s="1"/>
  <c r="J605" i="3"/>
  <c r="L605" i="3" s="1"/>
  <c r="P606" i="3"/>
  <c r="Q606" i="3" s="1"/>
  <c r="R606" i="3" s="1"/>
  <c r="S606" i="3" s="1"/>
  <c r="AC606" i="3"/>
  <c r="AD606" i="3"/>
  <c r="AA606" i="3"/>
  <c r="Z606" i="3"/>
  <c r="U605" i="3" l="1"/>
  <c r="Y604" i="3"/>
  <c r="T606" i="3"/>
  <c r="AG606" i="3" s="1"/>
  <c r="E606" i="3" l="1"/>
  <c r="H606" i="3" s="1"/>
  <c r="AH606" i="3"/>
  <c r="D606" i="3"/>
  <c r="F606" i="3" l="1"/>
  <c r="G606" i="3"/>
  <c r="K606" i="3"/>
  <c r="AE606" i="3" s="1"/>
  <c r="I606" i="3" l="1"/>
  <c r="J606" i="3"/>
  <c r="M606" i="3"/>
  <c r="N606" i="3" s="1"/>
  <c r="V606" i="3"/>
  <c r="A607" i="3"/>
  <c r="B607" i="3" s="1"/>
  <c r="W606" i="3" l="1"/>
  <c r="L606" i="3"/>
  <c r="Z607" i="3"/>
  <c r="AC607" i="3"/>
  <c r="P607" i="3"/>
  <c r="Q607" i="3" s="1"/>
  <c r="R607" i="3" s="1"/>
  <c r="S607" i="3" s="1"/>
  <c r="AA607" i="3"/>
  <c r="U606" i="3" l="1"/>
  <c r="Y605" i="3"/>
  <c r="T607" i="3"/>
  <c r="AH607" i="3" s="1"/>
  <c r="E607" i="3" l="1"/>
  <c r="H607" i="3" s="1"/>
  <c r="K607" i="3" s="1"/>
  <c r="AE607" i="3" s="1"/>
  <c r="D607" i="3"/>
  <c r="AG607" i="3"/>
  <c r="V607" i="3" l="1"/>
  <c r="A608" i="3"/>
  <c r="B608" i="3" s="1"/>
  <c r="F607" i="3"/>
  <c r="G607" i="3"/>
  <c r="I607" i="3" l="1"/>
  <c r="W607" i="3" s="1"/>
  <c r="J607" i="3"/>
  <c r="AD607" i="3" s="1"/>
  <c r="M607" i="3"/>
  <c r="N607" i="3" s="1"/>
  <c r="AD608" i="3"/>
  <c r="AA608" i="3"/>
  <c r="P608" i="3"/>
  <c r="Q608" i="3" s="1"/>
  <c r="R608" i="3" s="1"/>
  <c r="S608" i="3" s="1"/>
  <c r="Z608" i="3"/>
  <c r="AC608" i="3"/>
  <c r="T608" i="3" l="1"/>
  <c r="L607" i="3"/>
  <c r="AH608" i="3" l="1"/>
  <c r="AG608" i="3"/>
  <c r="U607" i="3"/>
  <c r="E608" i="3" s="1"/>
  <c r="H608" i="3" s="1"/>
  <c r="Y606" i="3"/>
  <c r="D608" i="3" l="1"/>
  <c r="G608" i="3" s="1"/>
  <c r="K608" i="3"/>
  <c r="AE608" i="3" s="1"/>
  <c r="F608" i="3" l="1"/>
  <c r="I608" i="3"/>
  <c r="J608" i="3"/>
  <c r="M608" i="3"/>
  <c r="N608" i="3" s="1"/>
  <c r="V608" i="3"/>
  <c r="A609" i="3"/>
  <c r="B609" i="3" s="1"/>
  <c r="L608" i="3" l="1"/>
  <c r="W608" i="3"/>
  <c r="Z609" i="3"/>
  <c r="P609" i="3"/>
  <c r="Q609" i="3" s="1"/>
  <c r="R609" i="3" s="1"/>
  <c r="S609" i="3" s="1"/>
  <c r="AC609" i="3"/>
  <c r="AA609" i="3"/>
  <c r="AD609" i="3"/>
  <c r="U608" i="3" l="1"/>
  <c r="Y607" i="3"/>
  <c r="T609" i="3"/>
  <c r="AG609" i="3" s="1"/>
  <c r="E609" i="3" l="1"/>
  <c r="H609" i="3" s="1"/>
  <c r="D609" i="3"/>
  <c r="AH609" i="3"/>
  <c r="K609" i="3" l="1"/>
  <c r="AE609" i="3" s="1"/>
  <c r="F609" i="3"/>
  <c r="G609" i="3"/>
  <c r="I609" i="3" l="1"/>
  <c r="J609" i="3"/>
  <c r="M609" i="3"/>
  <c r="N609" i="3" s="1"/>
  <c r="V609" i="3"/>
  <c r="A610" i="3"/>
  <c r="B610" i="3" s="1"/>
  <c r="L609" i="3" l="1"/>
  <c r="W609" i="3"/>
  <c r="AA610" i="3"/>
  <c r="P610" i="3"/>
  <c r="Q610" i="3" s="1"/>
  <c r="R610" i="3" s="1"/>
  <c r="S610" i="3" s="1"/>
  <c r="Z610" i="3"/>
  <c r="AC610" i="3"/>
  <c r="AD610" i="3"/>
  <c r="U609" i="3" l="1"/>
  <c r="Y608" i="3"/>
  <c r="T610" i="3"/>
  <c r="AG610" i="3" s="1"/>
  <c r="AH610" i="3" l="1"/>
  <c r="D610" i="3"/>
  <c r="G610" i="3" s="1"/>
  <c r="E610" i="3"/>
  <c r="H610" i="3" s="1"/>
  <c r="K610" i="3" s="1"/>
  <c r="AE610" i="3" s="1"/>
  <c r="F610" i="3" l="1"/>
  <c r="I610" i="3"/>
  <c r="J610" i="3"/>
  <c r="M610" i="3"/>
  <c r="N610" i="3" s="1"/>
  <c r="V610" i="3"/>
  <c r="A611" i="3"/>
  <c r="B611" i="3" s="1"/>
  <c r="W610" i="3" l="1"/>
  <c r="L610" i="3"/>
  <c r="AA611" i="3"/>
  <c r="P611" i="3"/>
  <c r="Q611" i="3" s="1"/>
  <c r="R611" i="3" s="1"/>
  <c r="S611" i="3" s="1"/>
  <c r="AC611" i="3"/>
  <c r="Z611" i="3"/>
  <c r="T611" i="3" l="1"/>
  <c r="U610" i="3"/>
  <c r="Y609" i="3"/>
  <c r="E611" i="3" l="1"/>
  <c r="H611" i="3" s="1"/>
  <c r="K611" i="3" s="1"/>
  <c r="AE611" i="3" s="1"/>
  <c r="AH611" i="3"/>
  <c r="AG611" i="3"/>
  <c r="D611" i="3"/>
  <c r="V611" i="3" l="1"/>
  <c r="A612" i="3"/>
  <c r="B612" i="3" s="1"/>
  <c r="F611" i="3"/>
  <c r="G611" i="3"/>
  <c r="I611" i="3" l="1"/>
  <c r="W611" i="3" s="1"/>
  <c r="J611" i="3"/>
  <c r="AD611" i="3" s="1"/>
  <c r="M611" i="3"/>
  <c r="N611" i="3" s="1"/>
  <c r="Z612" i="3"/>
  <c r="P612" i="3"/>
  <c r="Q612" i="3" s="1"/>
  <c r="R612" i="3" s="1"/>
  <c r="S612" i="3" s="1"/>
  <c r="AD612" i="3"/>
  <c r="AC612" i="3"/>
  <c r="AA612" i="3"/>
  <c r="T612" i="3" l="1"/>
  <c r="L611" i="3"/>
  <c r="U611" i="3" l="1"/>
  <c r="E612" i="3" s="1"/>
  <c r="H612" i="3" s="1"/>
  <c r="AH612" i="3"/>
  <c r="AG612" i="3"/>
  <c r="Y610" i="3"/>
  <c r="D612" i="3" l="1"/>
  <c r="G612" i="3" s="1"/>
  <c r="K612" i="3"/>
  <c r="AE612" i="3" s="1"/>
  <c r="F612" i="3" l="1"/>
  <c r="V612" i="3"/>
  <c r="A613" i="3"/>
  <c r="B613" i="3" s="1"/>
  <c r="I612" i="3"/>
  <c r="J612" i="3"/>
  <c r="M612" i="3"/>
  <c r="N612" i="3" s="1"/>
  <c r="W612" i="3" l="1"/>
  <c r="L612" i="3"/>
  <c r="P613" i="3"/>
  <c r="Q613" i="3" s="1"/>
  <c r="R613" i="3" s="1"/>
  <c r="S613" i="3" s="1"/>
  <c r="AD613" i="3"/>
  <c r="AA613" i="3"/>
  <c r="Z613" i="3"/>
  <c r="AC613" i="3"/>
  <c r="U612" i="3" l="1"/>
  <c r="Y611" i="3"/>
  <c r="T613" i="3"/>
  <c r="AG613" i="3" s="1"/>
  <c r="D613" i="3" l="1"/>
  <c r="AH613" i="3"/>
  <c r="E613" i="3"/>
  <c r="H613" i="3" s="1"/>
  <c r="F613" i="3" l="1"/>
  <c r="G613" i="3"/>
  <c r="K613" i="3"/>
  <c r="AE613" i="3" s="1"/>
  <c r="V613" i="3" l="1"/>
  <c r="A614" i="3"/>
  <c r="B614" i="3" s="1"/>
  <c r="I613" i="3"/>
  <c r="J613" i="3"/>
  <c r="M613" i="3"/>
  <c r="N613" i="3" s="1"/>
  <c r="W613" i="3" l="1"/>
  <c r="L613" i="3"/>
  <c r="AC614" i="3"/>
  <c r="AA614" i="3"/>
  <c r="Z614" i="3"/>
  <c r="P614" i="3"/>
  <c r="Q614" i="3" s="1"/>
  <c r="R614" i="3" s="1"/>
  <c r="S614" i="3" s="1"/>
  <c r="U613" i="3" l="1"/>
  <c r="Y612" i="3"/>
  <c r="T614" i="3"/>
  <c r="AG614" i="3" s="1"/>
  <c r="D614" i="3" l="1"/>
  <c r="G614" i="3" s="1"/>
  <c r="E614" i="3"/>
  <c r="H614" i="3" s="1"/>
  <c r="K614" i="3" s="1"/>
  <c r="AE614" i="3" s="1"/>
  <c r="AH614" i="3"/>
  <c r="F614" i="3" l="1"/>
  <c r="I614" i="3"/>
  <c r="J614" i="3"/>
  <c r="AD614" i="3" s="1"/>
  <c r="M614" i="3"/>
  <c r="N614" i="3" s="1"/>
  <c r="V614" i="3"/>
  <c r="A615" i="3"/>
  <c r="B615" i="3" s="1"/>
  <c r="L614" i="3" l="1"/>
  <c r="W614" i="3"/>
  <c r="P615" i="3"/>
  <c r="Q615" i="3" s="1"/>
  <c r="R615" i="3" s="1"/>
  <c r="S615" i="3" s="1"/>
  <c r="AC615" i="3"/>
  <c r="Z615" i="3"/>
  <c r="AA615" i="3"/>
  <c r="AD615" i="3"/>
  <c r="U614" i="3" l="1"/>
  <c r="Y613" i="3"/>
  <c r="T615" i="3"/>
  <c r="AH615" i="3" s="1"/>
  <c r="E615" i="3" l="1"/>
  <c r="H615" i="3" s="1"/>
  <c r="K615" i="3" s="1"/>
  <c r="AE615" i="3" s="1"/>
  <c r="AG615" i="3"/>
  <c r="D615" i="3"/>
  <c r="F615" i="3" l="1"/>
  <c r="G615" i="3"/>
  <c r="V615" i="3"/>
  <c r="A616" i="3"/>
  <c r="B616" i="3" s="1"/>
  <c r="AD616" i="3" l="1"/>
  <c r="P616" i="3"/>
  <c r="Q616" i="3" s="1"/>
  <c r="R616" i="3" s="1"/>
  <c r="S616" i="3" s="1"/>
  <c r="Z616" i="3"/>
  <c r="AC616" i="3"/>
  <c r="AA616" i="3"/>
  <c r="I615" i="3"/>
  <c r="W615" i="3" s="1"/>
  <c r="J615" i="3"/>
  <c r="M615" i="3"/>
  <c r="N615" i="3" s="1"/>
  <c r="L615" i="3" l="1"/>
  <c r="T616" i="3"/>
  <c r="U615" i="3" l="1"/>
  <c r="D616" i="3" s="1"/>
  <c r="AH616" i="3"/>
  <c r="AG616" i="3"/>
  <c r="Y614" i="3"/>
  <c r="E616" i="3" l="1"/>
  <c r="H616" i="3" s="1"/>
  <c r="K616" i="3" s="1"/>
  <c r="AE616" i="3" s="1"/>
  <c r="G616" i="3"/>
  <c r="F616" i="3" l="1"/>
  <c r="I616" i="3"/>
  <c r="J616" i="3"/>
  <c r="M616" i="3"/>
  <c r="N616" i="3" s="1"/>
  <c r="V616" i="3"/>
  <c r="A617" i="3"/>
  <c r="B617" i="3" s="1"/>
  <c r="W616" i="3" l="1"/>
  <c r="L616" i="3"/>
  <c r="Z617" i="3"/>
  <c r="AC617" i="3"/>
  <c r="P617" i="3"/>
  <c r="Q617" i="3" s="1"/>
  <c r="R617" i="3" s="1"/>
  <c r="S617" i="3" s="1"/>
  <c r="AA617" i="3"/>
  <c r="U616" i="3" l="1"/>
  <c r="Y615" i="3"/>
  <c r="T617" i="3"/>
  <c r="AG617" i="3" s="1"/>
  <c r="D617" i="3" l="1"/>
  <c r="G617" i="3" s="1"/>
  <c r="E617" i="3"/>
  <c r="H617" i="3" s="1"/>
  <c r="K617" i="3" s="1"/>
  <c r="AE617" i="3" s="1"/>
  <c r="AH617" i="3"/>
  <c r="F617" i="3" l="1"/>
  <c r="I617" i="3"/>
  <c r="J617" i="3"/>
  <c r="AD617" i="3" s="1"/>
  <c r="M617" i="3"/>
  <c r="N617" i="3" s="1"/>
  <c r="V617" i="3"/>
  <c r="A618" i="3"/>
  <c r="B618" i="3" s="1"/>
  <c r="W617" i="3" l="1"/>
  <c r="L617" i="3"/>
  <c r="P618" i="3"/>
  <c r="Q618" i="3" s="1"/>
  <c r="R618" i="3" s="1"/>
  <c r="S618" i="3" s="1"/>
  <c r="AD618" i="3"/>
  <c r="Z618" i="3"/>
  <c r="AC618" i="3"/>
  <c r="AA618" i="3"/>
  <c r="U617" i="3" l="1"/>
  <c r="Y616" i="3"/>
  <c r="T618" i="3"/>
  <c r="E618" i="3" l="1"/>
  <c r="H618" i="3" s="1"/>
  <c r="K618" i="3" s="1"/>
  <c r="AE618" i="3" s="1"/>
  <c r="AG618" i="3"/>
  <c r="D618" i="3"/>
  <c r="AH618" i="3"/>
  <c r="F618" i="3" l="1"/>
  <c r="G618" i="3"/>
  <c r="V618" i="3"/>
  <c r="A619" i="3"/>
  <c r="B619" i="3" s="1"/>
  <c r="P619" i="3" l="1"/>
  <c r="Q619" i="3" s="1"/>
  <c r="R619" i="3" s="1"/>
  <c r="S619" i="3" s="1"/>
  <c r="AD619" i="3"/>
  <c r="AA619" i="3"/>
  <c r="AC619" i="3"/>
  <c r="Z619" i="3"/>
  <c r="I618" i="3"/>
  <c r="W618" i="3" s="1"/>
  <c r="J618" i="3"/>
  <c r="M618" i="3"/>
  <c r="N618" i="3" s="1"/>
  <c r="T619" i="3" l="1"/>
  <c r="L618" i="3"/>
  <c r="AH619" i="3" l="1"/>
  <c r="AG619" i="3"/>
  <c r="U618" i="3"/>
  <c r="D619" i="3" s="1"/>
  <c r="Y617" i="3"/>
  <c r="E619" i="3" l="1"/>
  <c r="H619" i="3" s="1"/>
  <c r="K619" i="3" s="1"/>
  <c r="AE619" i="3" s="1"/>
  <c r="G619" i="3"/>
  <c r="F619" i="3" l="1"/>
  <c r="I619" i="3"/>
  <c r="J619" i="3"/>
  <c r="M619" i="3"/>
  <c r="N619" i="3" s="1"/>
  <c r="V619" i="3"/>
  <c r="A620" i="3"/>
  <c r="B620" i="3" s="1"/>
  <c r="W619" i="3" l="1"/>
  <c r="L619" i="3"/>
  <c r="AC620" i="3"/>
  <c r="AD620" i="3"/>
  <c r="P620" i="3"/>
  <c r="Q620" i="3" s="1"/>
  <c r="R620" i="3" s="1"/>
  <c r="S620" i="3" s="1"/>
  <c r="AA620" i="3"/>
  <c r="Z620" i="3"/>
  <c r="T620" i="3" l="1"/>
  <c r="AH620" i="3" s="1"/>
  <c r="U619" i="3"/>
  <c r="Y618" i="3"/>
  <c r="E620" i="3" l="1"/>
  <c r="H620" i="3" s="1"/>
  <c r="K620" i="3" s="1"/>
  <c r="AE620" i="3" s="1"/>
  <c r="D620" i="3"/>
  <c r="G620" i="3" s="1"/>
  <c r="AG620" i="3"/>
  <c r="F620" i="3" l="1"/>
  <c r="I620" i="3"/>
  <c r="J620" i="3"/>
  <c r="M620" i="3"/>
  <c r="N620" i="3" s="1"/>
  <c r="V620" i="3"/>
  <c r="A621" i="3"/>
  <c r="B621" i="3" s="1"/>
  <c r="W620" i="3" l="1"/>
  <c r="L620" i="3"/>
  <c r="AC621" i="3"/>
  <c r="AA621" i="3"/>
  <c r="P621" i="3"/>
  <c r="Q621" i="3" s="1"/>
  <c r="R621" i="3" s="1"/>
  <c r="S621" i="3" s="1"/>
  <c r="Z621" i="3"/>
  <c r="U620" i="3" l="1"/>
  <c r="Y619" i="3"/>
  <c r="T621" i="3"/>
  <c r="D621" i="3" l="1"/>
  <c r="G621" i="3" s="1"/>
  <c r="AH621" i="3"/>
  <c r="E621" i="3"/>
  <c r="H621" i="3" s="1"/>
  <c r="AG621" i="3"/>
  <c r="F621" i="3" l="1"/>
  <c r="I621" i="3"/>
  <c r="J621" i="3"/>
  <c r="AD621" i="3" s="1"/>
  <c r="M621" i="3"/>
  <c r="N621" i="3" s="1"/>
  <c r="K621" i="3"/>
  <c r="AE621" i="3" s="1"/>
  <c r="V621" i="3" l="1"/>
  <c r="W621" i="3" s="1"/>
  <c r="A622" i="3"/>
  <c r="B622" i="3" s="1"/>
  <c r="L621" i="3"/>
  <c r="U621" i="3" l="1"/>
  <c r="Y620" i="3"/>
  <c r="AA622" i="3"/>
  <c r="AC622" i="3"/>
  <c r="P622" i="3"/>
  <c r="Q622" i="3" s="1"/>
  <c r="R622" i="3" s="1"/>
  <c r="S622" i="3" s="1"/>
  <c r="Z622" i="3"/>
  <c r="AD622" i="3"/>
  <c r="T622" i="3" l="1"/>
  <c r="AG622" i="3" s="1"/>
  <c r="D622" i="3" l="1"/>
  <c r="E622" i="3"/>
  <c r="H622" i="3" s="1"/>
  <c r="K622" i="3" s="1"/>
  <c r="AE622" i="3" s="1"/>
  <c r="AH622" i="3"/>
  <c r="F622" i="3" l="1"/>
  <c r="G622" i="3"/>
  <c r="I622" i="3" s="1"/>
  <c r="V622" i="3"/>
  <c r="A623" i="3"/>
  <c r="B623" i="3" s="1"/>
  <c r="M622" i="3" l="1"/>
  <c r="N622" i="3" s="1"/>
  <c r="J622" i="3"/>
  <c r="L622" i="3" s="1"/>
  <c r="W622" i="3"/>
  <c r="P623" i="3"/>
  <c r="Q623" i="3" s="1"/>
  <c r="R623" i="3" s="1"/>
  <c r="S623" i="3" s="1"/>
  <c r="Z623" i="3"/>
  <c r="AD623" i="3"/>
  <c r="AA623" i="3"/>
  <c r="AC623" i="3"/>
  <c r="U622" i="3" l="1"/>
  <c r="Y621" i="3"/>
  <c r="T623" i="3"/>
  <c r="D623" i="3" l="1"/>
  <c r="G623" i="3" s="1"/>
  <c r="AH623" i="3"/>
  <c r="AG623" i="3"/>
  <c r="E623" i="3"/>
  <c r="H623" i="3" s="1"/>
  <c r="K623" i="3" l="1"/>
  <c r="AE623" i="3" s="1"/>
  <c r="I623" i="3"/>
  <c r="J623" i="3"/>
  <c r="M623" i="3"/>
  <c r="N623" i="3" s="1"/>
  <c r="F623" i="3"/>
  <c r="L623" i="3" l="1"/>
  <c r="V623" i="3"/>
  <c r="W623" i="3" s="1"/>
  <c r="A624" i="3"/>
  <c r="B624" i="3" s="1"/>
  <c r="U623" i="3" l="1"/>
  <c r="Y622" i="3"/>
  <c r="AA624" i="3"/>
  <c r="Z624" i="3"/>
  <c r="AC624" i="3"/>
  <c r="P624" i="3"/>
  <c r="Q624" i="3" s="1"/>
  <c r="R624" i="3" s="1"/>
  <c r="S624" i="3" s="1"/>
  <c r="T624" i="3" l="1"/>
  <c r="D624" i="3" s="1"/>
  <c r="AG624" i="3" l="1"/>
  <c r="AH624" i="3"/>
  <c r="E624" i="3"/>
  <c r="H624" i="3" s="1"/>
  <c r="K624" i="3" s="1"/>
  <c r="AE624" i="3" s="1"/>
  <c r="G624" i="3"/>
  <c r="F624" i="3" l="1"/>
  <c r="I624" i="3"/>
  <c r="J624" i="3"/>
  <c r="AD624" i="3" s="1"/>
  <c r="M624" i="3"/>
  <c r="N624" i="3" s="1"/>
  <c r="V624" i="3"/>
  <c r="A625" i="3"/>
  <c r="B625" i="3" s="1"/>
  <c r="W624" i="3" l="1"/>
  <c r="L624" i="3"/>
  <c r="P625" i="3"/>
  <c r="Q625" i="3" s="1"/>
  <c r="R625" i="3" s="1"/>
  <c r="S625" i="3" s="1"/>
  <c r="AD625" i="3"/>
  <c r="AA625" i="3"/>
  <c r="Z625" i="3"/>
  <c r="AC625" i="3"/>
  <c r="U624" i="3" l="1"/>
  <c r="Y623" i="3"/>
  <c r="T625" i="3"/>
  <c r="D625" i="3" l="1"/>
  <c r="G625" i="3" s="1"/>
  <c r="E625" i="3"/>
  <c r="H625" i="3" s="1"/>
  <c r="AH625" i="3"/>
  <c r="AG625" i="3"/>
  <c r="F625" i="3" l="1"/>
  <c r="I625" i="3"/>
  <c r="J625" i="3"/>
  <c r="M625" i="3"/>
  <c r="N625" i="3" s="1"/>
  <c r="K625" i="3"/>
  <c r="AE625" i="3" s="1"/>
  <c r="V625" i="3" l="1"/>
  <c r="W625" i="3" s="1"/>
  <c r="A626" i="3"/>
  <c r="B626" i="3" s="1"/>
  <c r="L625" i="3"/>
  <c r="U625" i="3" l="1"/>
  <c r="Y624" i="3"/>
  <c r="AD626" i="3"/>
  <c r="Z626" i="3"/>
  <c r="AC626" i="3"/>
  <c r="P626" i="3"/>
  <c r="Q626" i="3" s="1"/>
  <c r="R626" i="3" s="1"/>
  <c r="S626" i="3" s="1"/>
  <c r="AA626" i="3"/>
  <c r="T626" i="3" l="1"/>
  <c r="E626" i="3" s="1"/>
  <c r="H626" i="3" s="1"/>
  <c r="AG626" i="3" l="1"/>
  <c r="K626" i="3"/>
  <c r="AE626" i="3" s="1"/>
  <c r="D626" i="3"/>
  <c r="AH626" i="3"/>
  <c r="V626" i="3" l="1"/>
  <c r="A627" i="3"/>
  <c r="B627" i="3" s="1"/>
  <c r="F626" i="3"/>
  <c r="G626" i="3"/>
  <c r="I626" i="3" l="1"/>
  <c r="W626" i="3" s="1"/>
  <c r="J626" i="3"/>
  <c r="M626" i="3"/>
  <c r="N626" i="3" s="1"/>
  <c r="Z627" i="3"/>
  <c r="P627" i="3"/>
  <c r="Q627" i="3" s="1"/>
  <c r="R627" i="3" s="1"/>
  <c r="S627" i="3" s="1"/>
  <c r="AC627" i="3"/>
  <c r="AA627" i="3"/>
  <c r="L626" i="3" l="1"/>
  <c r="T627" i="3"/>
  <c r="AG627" i="3" l="1"/>
  <c r="U626" i="3"/>
  <c r="D627" i="3" s="1"/>
  <c r="AH627" i="3"/>
  <c r="Y625" i="3"/>
  <c r="G627" i="3" l="1"/>
  <c r="E627" i="3"/>
  <c r="H627" i="3" s="1"/>
  <c r="K627" i="3" l="1"/>
  <c r="AE627" i="3" s="1"/>
  <c r="I627" i="3"/>
  <c r="J627" i="3"/>
  <c r="AD627" i="3" s="1"/>
  <c r="M627" i="3"/>
  <c r="N627" i="3" s="1"/>
  <c r="F627" i="3"/>
  <c r="L627" i="3" l="1"/>
  <c r="V627" i="3"/>
  <c r="W627" i="3" s="1"/>
  <c r="A628" i="3"/>
  <c r="B628" i="3" s="1"/>
  <c r="Z628" i="3" l="1"/>
  <c r="AA628" i="3"/>
  <c r="P628" i="3"/>
  <c r="Q628" i="3" s="1"/>
  <c r="R628" i="3" s="1"/>
  <c r="S628" i="3" s="1"/>
  <c r="AC628" i="3"/>
  <c r="AD628" i="3"/>
  <c r="U627" i="3"/>
  <c r="Y626" i="3"/>
  <c r="T628" i="3" l="1"/>
  <c r="D628" i="3" l="1"/>
  <c r="E628" i="3"/>
  <c r="H628" i="3" s="1"/>
  <c r="AG628" i="3"/>
  <c r="AH628" i="3"/>
  <c r="F628" i="3" l="1"/>
  <c r="G628" i="3"/>
  <c r="K628" i="3"/>
  <c r="AE628" i="3" s="1"/>
  <c r="I628" i="3" l="1"/>
  <c r="J628" i="3"/>
  <c r="M628" i="3"/>
  <c r="N628" i="3" s="1"/>
  <c r="V628" i="3"/>
  <c r="A629" i="3"/>
  <c r="B629" i="3" s="1"/>
  <c r="W628" i="3" l="1"/>
  <c r="L628" i="3"/>
  <c r="AC629" i="3"/>
  <c r="AA629" i="3"/>
  <c r="P629" i="3"/>
  <c r="Q629" i="3" s="1"/>
  <c r="R629" i="3" s="1"/>
  <c r="S629" i="3" s="1"/>
  <c r="AD629" i="3"/>
  <c r="Z629" i="3"/>
  <c r="T629" i="3" l="1"/>
  <c r="U628" i="3"/>
  <c r="Y627" i="3"/>
  <c r="E629" i="3" l="1"/>
  <c r="H629" i="3" s="1"/>
  <c r="K629" i="3" s="1"/>
  <c r="AE629" i="3" s="1"/>
  <c r="AH629" i="3"/>
  <c r="AG629" i="3"/>
  <c r="D629" i="3"/>
  <c r="F629" i="3" l="1"/>
  <c r="G629" i="3"/>
  <c r="V629" i="3"/>
  <c r="A630" i="3"/>
  <c r="B630" i="3" s="1"/>
  <c r="I629" i="3" l="1"/>
  <c r="W629" i="3" s="1"/>
  <c r="J629" i="3"/>
  <c r="M629" i="3"/>
  <c r="N629" i="3" s="1"/>
  <c r="AD630" i="3"/>
  <c r="P630" i="3"/>
  <c r="Q630" i="3" s="1"/>
  <c r="R630" i="3" s="1"/>
  <c r="S630" i="3" s="1"/>
  <c r="AC630" i="3"/>
  <c r="AA630" i="3"/>
  <c r="Z630" i="3"/>
  <c r="T630" i="3" l="1"/>
  <c r="L629" i="3"/>
  <c r="U629" i="3" l="1"/>
  <c r="D630" i="3" s="1"/>
  <c r="AH630" i="3"/>
  <c r="AG630" i="3"/>
  <c r="Y628" i="3"/>
  <c r="G630" i="3" l="1"/>
  <c r="E630" i="3"/>
  <c r="H630" i="3" s="1"/>
  <c r="F630" i="3" l="1"/>
  <c r="K630" i="3"/>
  <c r="AE630" i="3" s="1"/>
  <c r="I630" i="3"/>
  <c r="J630" i="3"/>
  <c r="M630" i="3"/>
  <c r="N630" i="3" s="1"/>
  <c r="V630" i="3" l="1"/>
  <c r="W630" i="3" s="1"/>
  <c r="A631" i="3"/>
  <c r="B631" i="3" s="1"/>
  <c r="L630" i="3"/>
  <c r="U630" i="3" l="1"/>
  <c r="Y629" i="3"/>
  <c r="P631" i="3"/>
  <c r="Q631" i="3" s="1"/>
  <c r="R631" i="3" s="1"/>
  <c r="S631" i="3" s="1"/>
  <c r="AC631" i="3"/>
  <c r="AA631" i="3"/>
  <c r="Z631" i="3"/>
  <c r="T631" i="3" l="1"/>
  <c r="D631" i="3" s="1"/>
  <c r="AH631" i="3" l="1"/>
  <c r="E631" i="3"/>
  <c r="H631" i="3" s="1"/>
  <c r="K631" i="3" s="1"/>
  <c r="AE631" i="3" s="1"/>
  <c r="G631" i="3"/>
  <c r="AG631" i="3"/>
  <c r="F631" i="3" l="1"/>
  <c r="I631" i="3"/>
  <c r="J631" i="3"/>
  <c r="AD631" i="3" s="1"/>
  <c r="M631" i="3"/>
  <c r="N631" i="3" s="1"/>
  <c r="V631" i="3"/>
  <c r="A632" i="3"/>
  <c r="B632" i="3" s="1"/>
  <c r="L631" i="3" l="1"/>
  <c r="W631" i="3"/>
  <c r="AC632" i="3"/>
  <c r="AA632" i="3"/>
  <c r="Z632" i="3"/>
  <c r="P632" i="3"/>
  <c r="Q632" i="3" s="1"/>
  <c r="R632" i="3" s="1"/>
  <c r="S632" i="3" s="1"/>
  <c r="T632" i="3" l="1"/>
  <c r="U631" i="3"/>
  <c r="Y630" i="3"/>
  <c r="D632" i="3" l="1"/>
  <c r="G632" i="3" s="1"/>
  <c r="E632" i="3"/>
  <c r="H632" i="3" s="1"/>
  <c r="K632" i="3" s="1"/>
  <c r="AE632" i="3" s="1"/>
  <c r="AG632" i="3"/>
  <c r="AH632" i="3"/>
  <c r="F632" i="3" l="1"/>
  <c r="I632" i="3"/>
  <c r="J632" i="3"/>
  <c r="AD632" i="3" s="1"/>
  <c r="M632" i="3"/>
  <c r="N632" i="3" s="1"/>
  <c r="V632" i="3"/>
  <c r="A633" i="3"/>
  <c r="B633" i="3" s="1"/>
  <c r="W632" i="3" l="1"/>
  <c r="L632" i="3"/>
  <c r="Z633" i="3"/>
  <c r="AC633" i="3"/>
  <c r="P633" i="3"/>
  <c r="Q633" i="3" s="1"/>
  <c r="R633" i="3" s="1"/>
  <c r="S633" i="3" s="1"/>
  <c r="AA633" i="3"/>
  <c r="U632" i="3" l="1"/>
  <c r="Y631" i="3"/>
  <c r="T633" i="3"/>
  <c r="AG633" i="3" s="1"/>
  <c r="D633" i="3" l="1"/>
  <c r="G633" i="3" s="1"/>
  <c r="E633" i="3"/>
  <c r="H633" i="3" s="1"/>
  <c r="K633" i="3" s="1"/>
  <c r="AE633" i="3" s="1"/>
  <c r="AH633" i="3"/>
  <c r="F633" i="3" l="1"/>
  <c r="V633" i="3"/>
  <c r="A634" i="3"/>
  <c r="B634" i="3" s="1"/>
  <c r="I633" i="3"/>
  <c r="J633" i="3"/>
  <c r="AD633" i="3" s="1"/>
  <c r="M633" i="3"/>
  <c r="N633" i="3" s="1"/>
  <c r="L633" i="3" l="1"/>
  <c r="W633" i="3"/>
  <c r="P634" i="3"/>
  <c r="Q634" i="3" s="1"/>
  <c r="R634" i="3" s="1"/>
  <c r="S634" i="3" s="1"/>
  <c r="AA634" i="3"/>
  <c r="AC634" i="3"/>
  <c r="Z634" i="3"/>
  <c r="U633" i="3" l="1"/>
  <c r="Y632" i="3"/>
  <c r="T634" i="3"/>
  <c r="AH634" i="3" s="1"/>
  <c r="E634" i="3" l="1"/>
  <c r="H634" i="3" s="1"/>
  <c r="K634" i="3" s="1"/>
  <c r="AE634" i="3" s="1"/>
  <c r="AG634" i="3"/>
  <c r="D634" i="3"/>
  <c r="F634" i="3" l="1"/>
  <c r="G634" i="3"/>
  <c r="V634" i="3"/>
  <c r="A635" i="3"/>
  <c r="B635" i="3" s="1"/>
  <c r="Z635" i="3" l="1"/>
  <c r="AA635" i="3"/>
  <c r="P635" i="3"/>
  <c r="Q635" i="3" s="1"/>
  <c r="R635" i="3" s="1"/>
  <c r="S635" i="3" s="1"/>
  <c r="AC635" i="3"/>
  <c r="I634" i="3"/>
  <c r="W634" i="3" s="1"/>
  <c r="J634" i="3"/>
  <c r="AD634" i="3" s="1"/>
  <c r="M634" i="3"/>
  <c r="N634" i="3" s="1"/>
  <c r="T635" i="3" l="1"/>
  <c r="L634" i="3"/>
  <c r="AH635" i="3" l="1"/>
  <c r="U634" i="3"/>
  <c r="D635" i="3" s="1"/>
  <c r="AG635" i="3"/>
  <c r="Y633" i="3"/>
  <c r="E635" i="3" l="1"/>
  <c r="H635" i="3" s="1"/>
  <c r="K635" i="3" s="1"/>
  <c r="AE635" i="3" s="1"/>
  <c r="G635" i="3"/>
  <c r="F635" i="3" l="1"/>
  <c r="I635" i="3"/>
  <c r="J635" i="3"/>
  <c r="AD635" i="3" s="1"/>
  <c r="M635" i="3"/>
  <c r="N635" i="3" s="1"/>
  <c r="V635" i="3"/>
  <c r="A636" i="3"/>
  <c r="B636" i="3" s="1"/>
  <c r="W635" i="3" l="1"/>
  <c r="L635" i="3"/>
  <c r="AC636" i="3"/>
  <c r="AA636" i="3"/>
  <c r="P636" i="3"/>
  <c r="Q636" i="3" s="1"/>
  <c r="R636" i="3" s="1"/>
  <c r="S636" i="3" s="1"/>
  <c r="Z636" i="3"/>
  <c r="U635" i="3" l="1"/>
  <c r="Y634" i="3"/>
  <c r="T636" i="3"/>
  <c r="AG636" i="3" s="1"/>
  <c r="AH636" i="3" l="1"/>
  <c r="D636" i="3"/>
  <c r="E636" i="3"/>
  <c r="H636" i="3" s="1"/>
  <c r="F636" i="3" l="1"/>
  <c r="G636" i="3"/>
  <c r="K636" i="3"/>
  <c r="AE636" i="3" s="1"/>
  <c r="I636" i="3" l="1"/>
  <c r="J636" i="3"/>
  <c r="AD636" i="3" s="1"/>
  <c r="M636" i="3"/>
  <c r="N636" i="3" s="1"/>
  <c r="V636" i="3"/>
  <c r="A637" i="3"/>
  <c r="B637" i="3" s="1"/>
  <c r="W636" i="3" l="1"/>
  <c r="L636" i="3"/>
  <c r="Z637" i="3"/>
  <c r="P637" i="3"/>
  <c r="Q637" i="3" s="1"/>
  <c r="R637" i="3" s="1"/>
  <c r="S637" i="3" s="1"/>
  <c r="AC637" i="3"/>
  <c r="AA637" i="3"/>
  <c r="U636" i="3" l="1"/>
  <c r="Y635" i="3"/>
  <c r="T637" i="3"/>
  <c r="AG637" i="3" s="1"/>
  <c r="D637" i="3" l="1"/>
  <c r="AH637" i="3"/>
  <c r="E637" i="3"/>
  <c r="H637" i="3" s="1"/>
  <c r="F637" i="3" l="1"/>
  <c r="G637" i="3"/>
  <c r="K637" i="3"/>
  <c r="AE637" i="3" s="1"/>
  <c r="I637" i="3" l="1"/>
  <c r="J637" i="3"/>
  <c r="AD637" i="3" s="1"/>
  <c r="M637" i="3"/>
  <c r="N637" i="3" s="1"/>
  <c r="V637" i="3"/>
  <c r="A638" i="3"/>
  <c r="B638" i="3" s="1"/>
  <c r="W637" i="3" l="1"/>
  <c r="L637" i="3"/>
  <c r="P638" i="3"/>
  <c r="Q638" i="3" s="1"/>
  <c r="R638" i="3" s="1"/>
  <c r="S638" i="3" s="1"/>
  <c r="AC638" i="3"/>
  <c r="AA638" i="3"/>
  <c r="Z638" i="3"/>
  <c r="T638" i="3" l="1"/>
  <c r="AG638" i="3" s="1"/>
  <c r="U637" i="3"/>
  <c r="Y636" i="3"/>
  <c r="D638" i="3" l="1"/>
  <c r="G638" i="3" s="1"/>
  <c r="E638" i="3"/>
  <c r="H638" i="3" s="1"/>
  <c r="AH638" i="3"/>
  <c r="F638" i="3" l="1"/>
  <c r="I638" i="3"/>
  <c r="J638" i="3"/>
  <c r="AD638" i="3" s="1"/>
  <c r="M638" i="3"/>
  <c r="N638" i="3" s="1"/>
  <c r="K638" i="3"/>
  <c r="AE638" i="3" s="1"/>
  <c r="V638" i="3" l="1"/>
  <c r="W638" i="3" s="1"/>
  <c r="A639" i="3"/>
  <c r="B639" i="3" s="1"/>
  <c r="L638" i="3"/>
  <c r="U638" i="3" l="1"/>
  <c r="Y637" i="3"/>
  <c r="AC639" i="3"/>
  <c r="P639" i="3"/>
  <c r="Q639" i="3" s="1"/>
  <c r="R639" i="3" s="1"/>
  <c r="S639" i="3" s="1"/>
  <c r="AA639" i="3"/>
  <c r="Z639" i="3"/>
  <c r="T639" i="3" l="1"/>
  <c r="D639" i="3" s="1"/>
  <c r="AG639" i="3" l="1"/>
  <c r="E639" i="3"/>
  <c r="H639" i="3" s="1"/>
  <c r="K639" i="3" s="1"/>
  <c r="AE639" i="3" s="1"/>
  <c r="AH639" i="3"/>
  <c r="G639" i="3"/>
  <c r="F639" i="3" l="1"/>
  <c r="V639" i="3"/>
  <c r="A640" i="3"/>
  <c r="B640" i="3" s="1"/>
  <c r="I639" i="3"/>
  <c r="J639" i="3"/>
  <c r="AD639" i="3" s="1"/>
  <c r="M639" i="3"/>
  <c r="N639" i="3" s="1"/>
  <c r="W639" i="3" l="1"/>
  <c r="L639" i="3"/>
  <c r="P640" i="3"/>
  <c r="Q640" i="3" s="1"/>
  <c r="R640" i="3" s="1"/>
  <c r="S640" i="3" s="1"/>
  <c r="AA640" i="3"/>
  <c r="AC640" i="3"/>
  <c r="Z640" i="3"/>
  <c r="U639" i="3" l="1"/>
  <c r="Y638" i="3"/>
  <c r="T640" i="3"/>
  <c r="E640" i="3" l="1"/>
  <c r="H640" i="3" s="1"/>
  <c r="K640" i="3" s="1"/>
  <c r="AE640" i="3" s="1"/>
  <c r="D640" i="3"/>
  <c r="AG640" i="3"/>
  <c r="AH640" i="3"/>
  <c r="F640" i="3" l="1"/>
  <c r="G640" i="3"/>
  <c r="V640" i="3"/>
  <c r="A641" i="3"/>
  <c r="B641" i="3" s="1"/>
  <c r="AC641" i="3" l="1"/>
  <c r="AA641" i="3"/>
  <c r="AD641" i="3"/>
  <c r="Z641" i="3"/>
  <c r="P641" i="3"/>
  <c r="Q641" i="3" s="1"/>
  <c r="R641" i="3" s="1"/>
  <c r="S641" i="3" s="1"/>
  <c r="I640" i="3"/>
  <c r="W640" i="3" s="1"/>
  <c r="J640" i="3"/>
  <c r="AD640" i="3" s="1"/>
  <c r="M640" i="3"/>
  <c r="N640" i="3" s="1"/>
  <c r="L640" i="3" l="1"/>
  <c r="T641" i="3"/>
  <c r="U640" i="3" l="1"/>
  <c r="E641" i="3" s="1"/>
  <c r="H641" i="3" s="1"/>
  <c r="AG641" i="3"/>
  <c r="AH641" i="3"/>
  <c r="Y639" i="3"/>
  <c r="K641" i="3" l="1"/>
  <c r="AE641" i="3" s="1"/>
  <c r="D641" i="3"/>
  <c r="V641" i="3" l="1"/>
  <c r="A642" i="3"/>
  <c r="B642" i="3" s="1"/>
  <c r="F641" i="3"/>
  <c r="G641" i="3"/>
  <c r="I641" i="3" l="1"/>
  <c r="W641" i="3" s="1"/>
  <c r="J641" i="3"/>
  <c r="M641" i="3"/>
  <c r="N641" i="3" s="1"/>
  <c r="Z642" i="3"/>
  <c r="AD642" i="3"/>
  <c r="P642" i="3"/>
  <c r="Q642" i="3" s="1"/>
  <c r="R642" i="3" s="1"/>
  <c r="S642" i="3" s="1"/>
  <c r="AC642" i="3"/>
  <c r="AA642" i="3"/>
  <c r="T642" i="3" l="1"/>
  <c r="L641" i="3"/>
  <c r="U641" i="3" l="1"/>
  <c r="D642" i="3" s="1"/>
  <c r="AG642" i="3"/>
  <c r="AH642" i="3"/>
  <c r="Y640" i="3"/>
  <c r="E642" i="3" l="1"/>
  <c r="H642" i="3" s="1"/>
  <c r="K642" i="3" s="1"/>
  <c r="AE642" i="3" s="1"/>
  <c r="G642" i="3"/>
  <c r="F642" i="3" l="1"/>
  <c r="I642" i="3"/>
  <c r="J642" i="3"/>
  <c r="M642" i="3"/>
  <c r="N642" i="3" s="1"/>
  <c r="V642" i="3"/>
  <c r="A643" i="3"/>
  <c r="B643" i="3" s="1"/>
  <c r="W642" i="3" l="1"/>
  <c r="L642" i="3"/>
  <c r="AA643" i="3"/>
  <c r="AD643" i="3"/>
  <c r="AC643" i="3"/>
  <c r="P643" i="3"/>
  <c r="Q643" i="3" s="1"/>
  <c r="R643" i="3" s="1"/>
  <c r="S643" i="3" s="1"/>
  <c r="Z643" i="3"/>
  <c r="U642" i="3" l="1"/>
  <c r="Y641" i="3"/>
  <c r="T643" i="3"/>
  <c r="AH643" i="3" s="1"/>
  <c r="AG643" i="3" l="1"/>
  <c r="E643" i="3"/>
  <c r="H643" i="3" s="1"/>
  <c r="K643" i="3" s="1"/>
  <c r="AE643" i="3" s="1"/>
  <c r="D643" i="3"/>
  <c r="F643" i="3" l="1"/>
  <c r="G643" i="3"/>
  <c r="M643" i="3" s="1"/>
  <c r="N643" i="3" s="1"/>
  <c r="V643" i="3"/>
  <c r="A644" i="3"/>
  <c r="B644" i="3" s="1"/>
  <c r="I643" i="3" l="1"/>
  <c r="W643" i="3" s="1"/>
  <c r="J643" i="3"/>
  <c r="L643" i="3" s="1"/>
  <c r="P644" i="3"/>
  <c r="Q644" i="3" s="1"/>
  <c r="R644" i="3" s="1"/>
  <c r="S644" i="3" s="1"/>
  <c r="AA644" i="3"/>
  <c r="AC644" i="3"/>
  <c r="Z644" i="3"/>
  <c r="U643" i="3" l="1"/>
  <c r="Y642" i="3"/>
  <c r="T644" i="3"/>
  <c r="AG644" i="3" s="1"/>
  <c r="AH644" i="3" l="1"/>
  <c r="D644" i="3"/>
  <c r="E644" i="3"/>
  <c r="H644" i="3" s="1"/>
  <c r="K644" i="3" l="1"/>
  <c r="AE644" i="3" s="1"/>
  <c r="F644" i="3"/>
  <c r="G644" i="3"/>
  <c r="I644" i="3" l="1"/>
  <c r="J644" i="3"/>
  <c r="AD644" i="3" s="1"/>
  <c r="M644" i="3"/>
  <c r="N644" i="3" s="1"/>
  <c r="V644" i="3"/>
  <c r="A645" i="3"/>
  <c r="B645" i="3" s="1"/>
  <c r="L644" i="3" l="1"/>
  <c r="W644" i="3"/>
  <c r="Z645" i="3"/>
  <c r="P645" i="3"/>
  <c r="Q645" i="3" s="1"/>
  <c r="R645" i="3" s="1"/>
  <c r="S645" i="3" s="1"/>
  <c r="AD645" i="3"/>
  <c r="AA645" i="3"/>
  <c r="AC645" i="3"/>
  <c r="U644" i="3" l="1"/>
  <c r="Y643" i="3"/>
  <c r="T645" i="3"/>
  <c r="AG645" i="3" s="1"/>
  <c r="D645" i="3" l="1"/>
  <c r="AH645" i="3"/>
  <c r="E645" i="3"/>
  <c r="H645" i="3" s="1"/>
  <c r="F645" i="3" l="1"/>
  <c r="G645" i="3"/>
  <c r="K645" i="3"/>
  <c r="AE645" i="3" s="1"/>
  <c r="I645" i="3" l="1"/>
  <c r="J645" i="3"/>
  <c r="M645" i="3"/>
  <c r="N645" i="3" s="1"/>
  <c r="V645" i="3"/>
  <c r="A646" i="3"/>
  <c r="B646" i="3" s="1"/>
  <c r="W645" i="3" l="1"/>
  <c r="L645" i="3"/>
  <c r="AA646" i="3"/>
  <c r="Z646" i="3"/>
  <c r="AC646" i="3"/>
  <c r="AD646" i="3"/>
  <c r="P646" i="3"/>
  <c r="Q646" i="3" s="1"/>
  <c r="R646" i="3" s="1"/>
  <c r="S646" i="3" s="1"/>
  <c r="U645" i="3" l="1"/>
  <c r="Y644" i="3"/>
  <c r="T646" i="3"/>
  <c r="AG646" i="3" s="1"/>
  <c r="E646" i="3" l="1"/>
  <c r="H646" i="3" s="1"/>
  <c r="D646" i="3"/>
  <c r="AH646" i="3"/>
  <c r="F646" i="3" l="1"/>
  <c r="G646" i="3"/>
  <c r="K646" i="3"/>
  <c r="AE646" i="3" s="1"/>
  <c r="I646" i="3" l="1"/>
  <c r="J646" i="3"/>
  <c r="M646" i="3"/>
  <c r="N646" i="3" s="1"/>
  <c r="V646" i="3"/>
  <c r="A647" i="3"/>
  <c r="B647" i="3" s="1"/>
  <c r="L646" i="3" l="1"/>
  <c r="W646" i="3"/>
  <c r="P647" i="3"/>
  <c r="Q647" i="3" s="1"/>
  <c r="R647" i="3" s="1"/>
  <c r="S647" i="3" s="1"/>
  <c r="AC647" i="3"/>
  <c r="AA647" i="3"/>
  <c r="Z647" i="3"/>
  <c r="U646" i="3" l="1"/>
  <c r="Y645" i="3"/>
  <c r="T647" i="3"/>
  <c r="AG647" i="3" s="1"/>
  <c r="E647" i="3" l="1"/>
  <c r="H647" i="3" s="1"/>
  <c r="D647" i="3"/>
  <c r="AH647" i="3"/>
  <c r="F647" i="3" l="1"/>
  <c r="G647" i="3"/>
  <c r="K647" i="3"/>
  <c r="AE647" i="3" s="1"/>
  <c r="V647" i="3" l="1"/>
  <c r="A648" i="3"/>
  <c r="B648" i="3" s="1"/>
  <c r="I647" i="3"/>
  <c r="J647" i="3"/>
  <c r="AD647" i="3" s="1"/>
  <c r="M647" i="3"/>
  <c r="N647" i="3" s="1"/>
  <c r="W647" i="3" l="1"/>
  <c r="L647" i="3"/>
  <c r="AC648" i="3"/>
  <c r="AA648" i="3"/>
  <c r="P648" i="3"/>
  <c r="Q648" i="3" s="1"/>
  <c r="R648" i="3" s="1"/>
  <c r="S648" i="3" s="1"/>
  <c r="Z648" i="3"/>
  <c r="AD648" i="3"/>
  <c r="T648" i="3" l="1"/>
  <c r="AH648" i="3" s="1"/>
  <c r="U647" i="3"/>
  <c r="Y646" i="3"/>
  <c r="D648" i="3" l="1"/>
  <c r="AG648" i="3"/>
  <c r="E648" i="3"/>
  <c r="H648" i="3" s="1"/>
  <c r="F648" i="3" l="1"/>
  <c r="G648" i="3"/>
  <c r="K648" i="3"/>
  <c r="AE648" i="3" s="1"/>
  <c r="I648" i="3" l="1"/>
  <c r="J648" i="3"/>
  <c r="M648" i="3"/>
  <c r="N648" i="3" s="1"/>
  <c r="V648" i="3"/>
  <c r="A649" i="3"/>
  <c r="B649" i="3" s="1"/>
  <c r="W648" i="3" l="1"/>
  <c r="L648" i="3"/>
  <c r="AC649" i="3"/>
  <c r="AA649" i="3"/>
  <c r="AD649" i="3"/>
  <c r="P649" i="3"/>
  <c r="Q649" i="3" s="1"/>
  <c r="R649" i="3" s="1"/>
  <c r="S649" i="3" s="1"/>
  <c r="Z649" i="3"/>
  <c r="U648" i="3" l="1"/>
  <c r="Y647" i="3"/>
  <c r="T649" i="3"/>
  <c r="E649" i="3" l="1"/>
  <c r="H649" i="3" s="1"/>
  <c r="K649" i="3" s="1"/>
  <c r="AE649" i="3" s="1"/>
  <c r="D649" i="3"/>
  <c r="AH649" i="3"/>
  <c r="AG649" i="3"/>
  <c r="V649" i="3" l="1"/>
  <c r="A650" i="3"/>
  <c r="B650" i="3" s="1"/>
  <c r="F649" i="3"/>
  <c r="G649" i="3"/>
  <c r="I649" i="3" l="1"/>
  <c r="W649" i="3" s="1"/>
  <c r="J649" i="3"/>
  <c r="M649" i="3"/>
  <c r="N649" i="3" s="1"/>
  <c r="AA650" i="3"/>
  <c r="P650" i="3"/>
  <c r="Q650" i="3" s="1"/>
  <c r="R650" i="3" s="1"/>
  <c r="S650" i="3" s="1"/>
  <c r="Z650" i="3"/>
  <c r="AD650" i="3"/>
  <c r="AC650" i="3"/>
  <c r="L649" i="3" l="1"/>
  <c r="T650" i="3"/>
  <c r="U649" i="3" l="1"/>
  <c r="E650" i="3" s="1"/>
  <c r="H650" i="3" s="1"/>
  <c r="AG650" i="3"/>
  <c r="AH650" i="3"/>
  <c r="Y648" i="3"/>
  <c r="K650" i="3" l="1"/>
  <c r="AE650" i="3" s="1"/>
  <c r="D650" i="3"/>
  <c r="V650" i="3" l="1"/>
  <c r="A651" i="3"/>
  <c r="B651" i="3" s="1"/>
  <c r="F650" i="3"/>
  <c r="G650" i="3"/>
  <c r="I650" i="3" l="1"/>
  <c r="W650" i="3" s="1"/>
  <c r="J650" i="3"/>
  <c r="M650" i="3"/>
  <c r="N650" i="3" s="1"/>
  <c r="Z651" i="3"/>
  <c r="AC651" i="3"/>
  <c r="P651" i="3"/>
  <c r="Q651" i="3" s="1"/>
  <c r="R651" i="3" s="1"/>
  <c r="S651" i="3" s="1"/>
  <c r="AA651" i="3"/>
  <c r="AD651" i="3"/>
  <c r="T651" i="3" l="1"/>
  <c r="L650" i="3"/>
  <c r="AH651" i="3" l="1"/>
  <c r="U650" i="3"/>
  <c r="E651" i="3" s="1"/>
  <c r="H651" i="3" s="1"/>
  <c r="AG651" i="3"/>
  <c r="Y649" i="3"/>
  <c r="D651" i="3" l="1"/>
  <c r="G651" i="3" s="1"/>
  <c r="K651" i="3"/>
  <c r="AE651" i="3" s="1"/>
  <c r="F651" i="3" l="1"/>
  <c r="I651" i="3"/>
  <c r="J651" i="3"/>
  <c r="M651" i="3"/>
  <c r="N651" i="3" s="1"/>
  <c r="V651" i="3"/>
  <c r="A652" i="3"/>
  <c r="B652" i="3" s="1"/>
  <c r="W651" i="3" l="1"/>
  <c r="L651" i="3"/>
  <c r="P652" i="3"/>
  <c r="Q652" i="3" s="1"/>
  <c r="R652" i="3" s="1"/>
  <c r="S652" i="3" s="1"/>
  <c r="AC652" i="3"/>
  <c r="AA652" i="3"/>
  <c r="Z652" i="3"/>
  <c r="AD652" i="3"/>
  <c r="U651" i="3" l="1"/>
  <c r="Y650" i="3"/>
  <c r="T652" i="3"/>
  <c r="E652" i="3" l="1"/>
  <c r="H652" i="3" s="1"/>
  <c r="K652" i="3" s="1"/>
  <c r="AE652" i="3" s="1"/>
  <c r="AH652" i="3"/>
  <c r="AG652" i="3"/>
  <c r="D652" i="3"/>
  <c r="G652" i="3" s="1"/>
  <c r="F652" i="3" l="1"/>
  <c r="V652" i="3"/>
  <c r="A653" i="3"/>
  <c r="B653" i="3" s="1"/>
  <c r="I652" i="3"/>
  <c r="J652" i="3"/>
  <c r="M652" i="3"/>
  <c r="N652" i="3" s="1"/>
  <c r="W652" i="3" l="1"/>
  <c r="L652" i="3"/>
  <c r="Z653" i="3"/>
  <c r="AA653" i="3"/>
  <c r="P653" i="3"/>
  <c r="Q653" i="3" s="1"/>
  <c r="R653" i="3" s="1"/>
  <c r="S653" i="3" s="1"/>
  <c r="AD653" i="3"/>
  <c r="AC653" i="3"/>
  <c r="T653" i="3" l="1"/>
  <c r="AG653" i="3" s="1"/>
  <c r="U652" i="3"/>
  <c r="Y651" i="3"/>
  <c r="AH653" i="3" l="1"/>
  <c r="E653" i="3"/>
  <c r="H653" i="3" s="1"/>
  <c r="D653" i="3"/>
  <c r="K653" i="3" l="1"/>
  <c r="AE653" i="3" s="1"/>
  <c r="F653" i="3"/>
  <c r="G653" i="3"/>
  <c r="V653" i="3" l="1"/>
  <c r="A654" i="3"/>
  <c r="B654" i="3" s="1"/>
  <c r="I653" i="3"/>
  <c r="J653" i="3"/>
  <c r="M653" i="3"/>
  <c r="N653" i="3" s="1"/>
  <c r="W653" i="3" l="1"/>
  <c r="L653" i="3"/>
  <c r="Z654" i="3"/>
  <c r="P654" i="3"/>
  <c r="Q654" i="3" s="1"/>
  <c r="R654" i="3" s="1"/>
  <c r="S654" i="3" s="1"/>
  <c r="AC654" i="3"/>
  <c r="AA654" i="3"/>
  <c r="T654" i="3" l="1"/>
  <c r="AG654" i="3" s="1"/>
  <c r="U653" i="3"/>
  <c r="Y652" i="3"/>
  <c r="AH654" i="3" l="1"/>
  <c r="E654" i="3"/>
  <c r="H654" i="3" s="1"/>
  <c r="D654" i="3"/>
  <c r="K654" i="3" l="1"/>
  <c r="AE654" i="3" s="1"/>
  <c r="F654" i="3"/>
  <c r="G654" i="3"/>
  <c r="V654" i="3" l="1"/>
  <c r="A655" i="3"/>
  <c r="B655" i="3" s="1"/>
  <c r="I654" i="3"/>
  <c r="J654" i="3"/>
  <c r="AD654" i="3" s="1"/>
  <c r="M654" i="3"/>
  <c r="N654" i="3" s="1"/>
  <c r="L654" i="3" l="1"/>
  <c r="AD655" i="3"/>
  <c r="AC655" i="3"/>
  <c r="P655" i="3"/>
  <c r="Q655" i="3" s="1"/>
  <c r="R655" i="3" s="1"/>
  <c r="S655" i="3" s="1"/>
  <c r="Z655" i="3"/>
  <c r="AA655" i="3"/>
  <c r="W654" i="3"/>
  <c r="U654" i="3" l="1"/>
  <c r="Y653" i="3"/>
  <c r="T655" i="3"/>
  <c r="AH655" i="3" s="1"/>
  <c r="AG655" i="3" l="1"/>
  <c r="D655" i="3"/>
  <c r="E655" i="3"/>
  <c r="H655" i="3" s="1"/>
  <c r="K655" i="3" l="1"/>
  <c r="AE655" i="3" s="1"/>
  <c r="F655" i="3"/>
  <c r="G655" i="3"/>
  <c r="V655" i="3" l="1"/>
  <c r="A656" i="3"/>
  <c r="B656" i="3" s="1"/>
  <c r="I655" i="3"/>
  <c r="J655" i="3"/>
  <c r="M655" i="3"/>
  <c r="N655" i="3" s="1"/>
  <c r="W655" i="3" l="1"/>
  <c r="L655" i="3"/>
  <c r="Z656" i="3"/>
  <c r="AA656" i="3"/>
  <c r="AD656" i="3"/>
  <c r="AC656" i="3"/>
  <c r="P656" i="3"/>
  <c r="Q656" i="3" s="1"/>
  <c r="R656" i="3" s="1"/>
  <c r="S656" i="3" s="1"/>
  <c r="T656" i="3" l="1"/>
  <c r="U655" i="3"/>
  <c r="Y654" i="3"/>
  <c r="E656" i="3" l="1"/>
  <c r="H656" i="3" s="1"/>
  <c r="K656" i="3" s="1"/>
  <c r="AE656" i="3" s="1"/>
  <c r="AH656" i="3"/>
  <c r="D656" i="3"/>
  <c r="AG656" i="3"/>
  <c r="F656" i="3" l="1"/>
  <c r="G656" i="3"/>
  <c r="V656" i="3"/>
  <c r="A657" i="3"/>
  <c r="B657" i="3" s="1"/>
  <c r="I656" i="3" l="1"/>
  <c r="W656" i="3" s="1"/>
  <c r="J656" i="3"/>
  <c r="M656" i="3"/>
  <c r="N656" i="3" s="1"/>
  <c r="AC657" i="3"/>
  <c r="P657" i="3"/>
  <c r="Q657" i="3" s="1"/>
  <c r="R657" i="3" s="1"/>
  <c r="S657" i="3" s="1"/>
  <c r="AA657" i="3"/>
  <c r="Z657" i="3"/>
  <c r="L656" i="3" l="1"/>
  <c r="T657" i="3"/>
  <c r="AH657" i="3" l="1"/>
  <c r="U656" i="3"/>
  <c r="E657" i="3" s="1"/>
  <c r="H657" i="3" s="1"/>
  <c r="AG657" i="3"/>
  <c r="Y655" i="3"/>
  <c r="D657" i="3" l="1"/>
  <c r="G657" i="3" s="1"/>
  <c r="K657" i="3"/>
  <c r="AE657" i="3" s="1"/>
  <c r="F657" i="3" l="1"/>
  <c r="I657" i="3"/>
  <c r="J657" i="3"/>
  <c r="AD657" i="3" s="1"/>
  <c r="M657" i="3"/>
  <c r="N657" i="3" s="1"/>
  <c r="V657" i="3"/>
  <c r="A658" i="3"/>
  <c r="B658" i="3" s="1"/>
  <c r="W657" i="3" l="1"/>
  <c r="L657" i="3"/>
  <c r="AC658" i="3"/>
  <c r="Z658" i="3"/>
  <c r="AA658" i="3"/>
  <c r="P658" i="3"/>
  <c r="Q658" i="3" s="1"/>
  <c r="R658" i="3" s="1"/>
  <c r="S658" i="3" s="1"/>
  <c r="U657" i="3" l="1"/>
  <c r="Y656" i="3"/>
  <c r="T658" i="3"/>
  <c r="AG658" i="3" s="1"/>
  <c r="E658" i="3" l="1"/>
  <c r="H658" i="3" s="1"/>
  <c r="D658" i="3"/>
  <c r="AH658" i="3"/>
  <c r="K658" i="3" l="1"/>
  <c r="AE658" i="3" s="1"/>
  <c r="F658" i="3"/>
  <c r="G658" i="3"/>
  <c r="I658" i="3" l="1"/>
  <c r="J658" i="3"/>
  <c r="AD658" i="3" s="1"/>
  <c r="M658" i="3"/>
  <c r="N658" i="3" s="1"/>
  <c r="V658" i="3"/>
  <c r="A659" i="3"/>
  <c r="B659" i="3" s="1"/>
  <c r="W658" i="3" l="1"/>
  <c r="L658" i="3"/>
  <c r="AA659" i="3"/>
  <c r="P659" i="3"/>
  <c r="Q659" i="3" s="1"/>
  <c r="R659" i="3" s="1"/>
  <c r="S659" i="3" s="1"/>
  <c r="Z659" i="3"/>
  <c r="AC659" i="3"/>
  <c r="U658" i="3" l="1"/>
  <c r="Y657" i="3"/>
  <c r="T659" i="3"/>
  <c r="AH659" i="3" s="1"/>
  <c r="E659" i="3" l="1"/>
  <c r="H659" i="3" s="1"/>
  <c r="K659" i="3" s="1"/>
  <c r="AE659" i="3" s="1"/>
  <c r="AG659" i="3"/>
  <c r="D659" i="3"/>
  <c r="G659" i="3" s="1"/>
  <c r="F659" i="3" l="1"/>
  <c r="I659" i="3"/>
  <c r="J659" i="3"/>
  <c r="AD659" i="3" s="1"/>
  <c r="M659" i="3"/>
  <c r="N659" i="3" s="1"/>
  <c r="V659" i="3"/>
  <c r="A660" i="3"/>
  <c r="B660" i="3" s="1"/>
  <c r="W659" i="3" l="1"/>
  <c r="L659" i="3"/>
  <c r="AA660" i="3"/>
  <c r="P660" i="3"/>
  <c r="Q660" i="3" s="1"/>
  <c r="R660" i="3" s="1"/>
  <c r="S660" i="3" s="1"/>
  <c r="AC660" i="3"/>
  <c r="Z660" i="3"/>
  <c r="T660" i="3" l="1"/>
  <c r="AH660" i="3" s="1"/>
  <c r="U659" i="3"/>
  <c r="Y658" i="3"/>
  <c r="AG660" i="3" l="1"/>
  <c r="D660" i="3"/>
  <c r="E660" i="3"/>
  <c r="H660" i="3" s="1"/>
  <c r="K660" i="3" l="1"/>
  <c r="AE660" i="3" s="1"/>
  <c r="F660" i="3"/>
  <c r="G660" i="3"/>
  <c r="I660" i="3" l="1"/>
  <c r="J660" i="3"/>
  <c r="AD660" i="3" s="1"/>
  <c r="M660" i="3"/>
  <c r="N660" i="3" s="1"/>
  <c r="V660" i="3"/>
  <c r="A661" i="3"/>
  <c r="B661" i="3" s="1"/>
  <c r="L660" i="3" l="1"/>
  <c r="W660" i="3"/>
  <c r="Z661" i="3"/>
  <c r="P661" i="3"/>
  <c r="Q661" i="3" s="1"/>
  <c r="R661" i="3" s="1"/>
  <c r="S661" i="3" s="1"/>
  <c r="AA661" i="3"/>
  <c r="AC661" i="3"/>
  <c r="T661" i="3" l="1"/>
  <c r="U660" i="3"/>
  <c r="Y659" i="3"/>
  <c r="E661" i="3" l="1"/>
  <c r="H661" i="3" s="1"/>
  <c r="K661" i="3" s="1"/>
  <c r="AE661" i="3" s="1"/>
  <c r="D661" i="3"/>
  <c r="AH661" i="3"/>
  <c r="AG661" i="3"/>
  <c r="V661" i="3" l="1"/>
  <c r="A662" i="3"/>
  <c r="B662" i="3" s="1"/>
  <c r="F661" i="3"/>
  <c r="G661" i="3"/>
  <c r="I661" i="3" l="1"/>
  <c r="W661" i="3" s="1"/>
  <c r="J661" i="3"/>
  <c r="AD661" i="3" s="1"/>
  <c r="M661" i="3"/>
  <c r="N661" i="3" s="1"/>
  <c r="P662" i="3"/>
  <c r="Q662" i="3" s="1"/>
  <c r="R662" i="3" s="1"/>
  <c r="S662" i="3" s="1"/>
  <c r="Z662" i="3"/>
  <c r="AA662" i="3"/>
  <c r="AC662" i="3"/>
  <c r="T662" i="3" l="1"/>
  <c r="L661" i="3"/>
  <c r="AH662" i="3" l="1"/>
  <c r="AG662" i="3"/>
  <c r="U661" i="3"/>
  <c r="E662" i="3" s="1"/>
  <c r="H662" i="3" s="1"/>
  <c r="Y660" i="3"/>
  <c r="D662" i="3" l="1"/>
  <c r="F662" i="3" s="1"/>
  <c r="K662" i="3"/>
  <c r="AE662" i="3" s="1"/>
  <c r="G662" i="3" l="1"/>
  <c r="I662" i="3" s="1"/>
  <c r="V662" i="3"/>
  <c r="A663" i="3"/>
  <c r="B663" i="3" s="1"/>
  <c r="J662" i="3" l="1"/>
  <c r="M662" i="3"/>
  <c r="N662" i="3" s="1"/>
  <c r="W662" i="3"/>
  <c r="AA663" i="3"/>
  <c r="Z663" i="3"/>
  <c r="P663" i="3"/>
  <c r="Q663" i="3" s="1"/>
  <c r="R663" i="3" s="1"/>
  <c r="S663" i="3" s="1"/>
  <c r="AC663" i="3"/>
  <c r="L662" i="3" l="1"/>
  <c r="AD662" i="3"/>
  <c r="U662" i="3"/>
  <c r="Y661" i="3"/>
  <c r="T663" i="3"/>
  <c r="E663" i="3" l="1"/>
  <c r="H663" i="3" s="1"/>
  <c r="K663" i="3" s="1"/>
  <c r="AE663" i="3" s="1"/>
  <c r="AG663" i="3"/>
  <c r="AH663" i="3"/>
  <c r="D663" i="3"/>
  <c r="F663" i="3" l="1"/>
  <c r="G663" i="3"/>
  <c r="V663" i="3"/>
  <c r="A664" i="3"/>
  <c r="B664" i="3" s="1"/>
  <c r="P664" i="3" l="1"/>
  <c r="Q664" i="3" s="1"/>
  <c r="R664" i="3" s="1"/>
  <c r="S664" i="3" s="1"/>
  <c r="AA664" i="3"/>
  <c r="AC664" i="3"/>
  <c r="Z664" i="3"/>
  <c r="I663" i="3"/>
  <c r="W663" i="3" s="1"/>
  <c r="J663" i="3"/>
  <c r="AD663" i="3" s="1"/>
  <c r="M663" i="3"/>
  <c r="N663" i="3" s="1"/>
  <c r="T664" i="3" l="1"/>
  <c r="L663" i="3"/>
  <c r="AH664" i="3" l="1"/>
  <c r="U663" i="3"/>
  <c r="E664" i="3" s="1"/>
  <c r="H664" i="3" s="1"/>
  <c r="AG664" i="3"/>
  <c r="Y662" i="3"/>
  <c r="D664" i="3" l="1"/>
  <c r="G664" i="3" s="1"/>
  <c r="K664" i="3"/>
  <c r="AE664" i="3" s="1"/>
  <c r="F664" i="3" l="1"/>
  <c r="I664" i="3"/>
  <c r="J664" i="3"/>
  <c r="AD664" i="3" s="1"/>
  <c r="M664" i="3"/>
  <c r="N664" i="3" s="1"/>
  <c r="V664" i="3"/>
  <c r="A665" i="3"/>
  <c r="B665" i="3" s="1"/>
  <c r="W664" i="3" l="1"/>
  <c r="L664" i="3"/>
  <c r="AC665" i="3"/>
  <c r="P665" i="3"/>
  <c r="Q665" i="3" s="1"/>
  <c r="R665" i="3" s="1"/>
  <c r="S665" i="3" s="1"/>
  <c r="AA665" i="3"/>
  <c r="Z665" i="3"/>
  <c r="U664" i="3" l="1"/>
  <c r="Y663" i="3"/>
  <c r="T665" i="3"/>
  <c r="D665" i="3" l="1"/>
  <c r="G665" i="3" s="1"/>
  <c r="AG665" i="3"/>
  <c r="E665" i="3"/>
  <c r="H665" i="3" s="1"/>
  <c r="AH665" i="3"/>
  <c r="F665" i="3" l="1"/>
  <c r="I665" i="3"/>
  <c r="J665" i="3"/>
  <c r="AD665" i="3" s="1"/>
  <c r="M665" i="3"/>
  <c r="N665" i="3" s="1"/>
  <c r="K665" i="3"/>
  <c r="AE665" i="3" s="1"/>
  <c r="L665" i="3" l="1"/>
  <c r="V665" i="3"/>
  <c r="W665" i="3" s="1"/>
  <c r="A666" i="3"/>
  <c r="B666" i="3" s="1"/>
  <c r="U665" i="3" l="1"/>
  <c r="Y664" i="3"/>
  <c r="AA666" i="3"/>
  <c r="P666" i="3"/>
  <c r="Q666" i="3" s="1"/>
  <c r="R666" i="3" s="1"/>
  <c r="S666" i="3" s="1"/>
  <c r="Z666" i="3"/>
  <c r="AC666" i="3"/>
  <c r="T666" i="3" l="1"/>
  <c r="D666" i="3" s="1"/>
  <c r="AG666" i="3" l="1"/>
  <c r="E666" i="3"/>
  <c r="H666" i="3" s="1"/>
  <c r="K666" i="3" s="1"/>
  <c r="AE666" i="3" s="1"/>
  <c r="AH666" i="3"/>
  <c r="G666" i="3"/>
  <c r="F666" i="3" l="1"/>
  <c r="I666" i="3"/>
  <c r="J666" i="3"/>
  <c r="AD666" i="3" s="1"/>
  <c r="M666" i="3"/>
  <c r="N666" i="3" s="1"/>
  <c r="V666" i="3"/>
  <c r="A667" i="3"/>
  <c r="B667" i="3" s="1"/>
  <c r="L666" i="3" l="1"/>
  <c r="W666" i="3"/>
  <c r="AC667" i="3"/>
  <c r="Z667" i="3"/>
  <c r="P667" i="3"/>
  <c r="Q667" i="3" s="1"/>
  <c r="R667" i="3" s="1"/>
  <c r="S667" i="3" s="1"/>
  <c r="AA667" i="3"/>
  <c r="U666" i="3" l="1"/>
  <c r="Y665" i="3"/>
  <c r="T667" i="3"/>
  <c r="AG667" i="3" s="1"/>
  <c r="D667" i="3" l="1"/>
  <c r="E667" i="3"/>
  <c r="H667" i="3" s="1"/>
  <c r="AH667" i="3"/>
  <c r="F667" i="3" l="1"/>
  <c r="G667" i="3"/>
  <c r="K667" i="3"/>
  <c r="AE667" i="3" s="1"/>
  <c r="I667" i="3" l="1"/>
  <c r="J667" i="3"/>
  <c r="AD667" i="3" s="1"/>
  <c r="M667" i="3"/>
  <c r="N667" i="3" s="1"/>
  <c r="V667" i="3"/>
  <c r="A668" i="3"/>
  <c r="B668" i="3" s="1"/>
  <c r="W667" i="3" l="1"/>
  <c r="L667" i="3"/>
  <c r="Z668" i="3"/>
  <c r="P668" i="3"/>
  <c r="Q668" i="3" s="1"/>
  <c r="R668" i="3" s="1"/>
  <c r="S668" i="3" s="1"/>
  <c r="AD668" i="3"/>
  <c r="AC668" i="3"/>
  <c r="AA668" i="3"/>
  <c r="T668" i="3" l="1"/>
  <c r="AH668" i="3" s="1"/>
  <c r="U667" i="3"/>
  <c r="Y666" i="3"/>
  <c r="D668" i="3" l="1"/>
  <c r="G668" i="3" s="1"/>
  <c r="AG668" i="3"/>
  <c r="E668" i="3"/>
  <c r="H668" i="3" s="1"/>
  <c r="F668" i="3" l="1"/>
  <c r="I668" i="3"/>
  <c r="J668" i="3"/>
  <c r="M668" i="3"/>
  <c r="N668" i="3" s="1"/>
  <c r="K668" i="3"/>
  <c r="AE668" i="3" s="1"/>
  <c r="L668" i="3" l="1"/>
  <c r="V668" i="3"/>
  <c r="W668" i="3" s="1"/>
  <c r="A669" i="3"/>
  <c r="B669" i="3" s="1"/>
  <c r="AA669" i="3" l="1"/>
  <c r="P669" i="3"/>
  <c r="Q669" i="3" s="1"/>
  <c r="R669" i="3" s="1"/>
  <c r="S669" i="3" s="1"/>
  <c r="AD669" i="3"/>
  <c r="AC669" i="3"/>
  <c r="Z669" i="3"/>
  <c r="U668" i="3"/>
  <c r="Y667" i="3"/>
  <c r="T669" i="3" l="1"/>
  <c r="AH669" i="3" l="1"/>
  <c r="AG669" i="3"/>
  <c r="D669" i="3"/>
  <c r="E669" i="3"/>
  <c r="H669" i="3" s="1"/>
  <c r="F669" i="3" l="1"/>
  <c r="G669" i="3"/>
  <c r="K669" i="3"/>
  <c r="AE669" i="3" s="1"/>
  <c r="V669" i="3" l="1"/>
  <c r="A670" i="3"/>
  <c r="B670" i="3" s="1"/>
  <c r="I669" i="3"/>
  <c r="J669" i="3"/>
  <c r="M669" i="3"/>
  <c r="N669" i="3" s="1"/>
  <c r="L669" i="3" l="1"/>
  <c r="W669" i="3"/>
  <c r="AD670" i="3"/>
  <c r="P670" i="3"/>
  <c r="Q670" i="3" s="1"/>
  <c r="R670" i="3" s="1"/>
  <c r="S670" i="3" s="1"/>
  <c r="AA670" i="3"/>
  <c r="Z670" i="3"/>
  <c r="AC670" i="3"/>
  <c r="T670" i="3" l="1"/>
  <c r="U669" i="3"/>
  <c r="Y668" i="3"/>
  <c r="E670" i="3" l="1"/>
  <c r="H670" i="3" s="1"/>
  <c r="K670" i="3" s="1"/>
  <c r="AE670" i="3" s="1"/>
  <c r="AH670" i="3"/>
  <c r="AG670" i="3"/>
  <c r="D670" i="3"/>
  <c r="V670" i="3" l="1"/>
  <c r="A671" i="3"/>
  <c r="B671" i="3" s="1"/>
  <c r="F670" i="3"/>
  <c r="G670" i="3"/>
  <c r="I670" i="3" l="1"/>
  <c r="W670" i="3" s="1"/>
  <c r="J670" i="3"/>
  <c r="M670" i="3"/>
  <c r="N670" i="3" s="1"/>
  <c r="AC671" i="3"/>
  <c r="Z671" i="3"/>
  <c r="AD671" i="3"/>
  <c r="AA671" i="3"/>
  <c r="P671" i="3"/>
  <c r="Q671" i="3" s="1"/>
  <c r="R671" i="3" s="1"/>
  <c r="S671" i="3" s="1"/>
  <c r="T671" i="3" l="1"/>
  <c r="L670" i="3"/>
  <c r="U670" i="3" l="1"/>
  <c r="E671" i="3" s="1"/>
  <c r="H671" i="3" s="1"/>
  <c r="AG671" i="3"/>
  <c r="AH671" i="3"/>
  <c r="Y669" i="3"/>
  <c r="D671" i="3" l="1"/>
  <c r="G671" i="3" s="1"/>
  <c r="K671" i="3"/>
  <c r="AE671" i="3" s="1"/>
  <c r="F671" i="3" l="1"/>
  <c r="V671" i="3"/>
  <c r="A672" i="3"/>
  <c r="B672" i="3" s="1"/>
  <c r="I671" i="3"/>
  <c r="J671" i="3"/>
  <c r="M671" i="3"/>
  <c r="N671" i="3" s="1"/>
  <c r="W671" i="3" l="1"/>
  <c r="L671" i="3"/>
  <c r="AD672" i="3"/>
  <c r="P672" i="3"/>
  <c r="Q672" i="3" s="1"/>
  <c r="R672" i="3" s="1"/>
  <c r="S672" i="3" s="1"/>
  <c r="AC672" i="3"/>
  <c r="Z672" i="3"/>
  <c r="AA672" i="3"/>
  <c r="T672" i="3" l="1"/>
  <c r="AG672" i="3" s="1"/>
  <c r="U671" i="3"/>
  <c r="Y670" i="3"/>
  <c r="E672" i="3" l="1"/>
  <c r="H672" i="3" s="1"/>
  <c r="K672" i="3" s="1"/>
  <c r="AE672" i="3" s="1"/>
  <c r="D672" i="3"/>
  <c r="AH672" i="3"/>
  <c r="F672" i="3" l="1"/>
  <c r="G672" i="3"/>
  <c r="V672" i="3"/>
  <c r="A673" i="3"/>
  <c r="B673" i="3" s="1"/>
  <c r="AC673" i="3" l="1"/>
  <c r="AA673" i="3"/>
  <c r="P673" i="3"/>
  <c r="Q673" i="3" s="1"/>
  <c r="R673" i="3" s="1"/>
  <c r="S673" i="3" s="1"/>
  <c r="AD673" i="3"/>
  <c r="Z673" i="3"/>
  <c r="I672" i="3"/>
  <c r="W672" i="3" s="1"/>
  <c r="J672" i="3"/>
  <c r="M672" i="3"/>
  <c r="N672" i="3" s="1"/>
  <c r="L672" i="3" l="1"/>
  <c r="T673" i="3"/>
  <c r="AH673" i="3" l="1"/>
  <c r="AG673" i="3"/>
  <c r="U672" i="3"/>
  <c r="E673" i="3" s="1"/>
  <c r="H673" i="3" s="1"/>
  <c r="Y671" i="3"/>
  <c r="K673" i="3" l="1"/>
  <c r="AE673" i="3" s="1"/>
  <c r="D673" i="3"/>
  <c r="V673" i="3" l="1"/>
  <c r="A674" i="3"/>
  <c r="B674" i="3" s="1"/>
  <c r="F673" i="3"/>
  <c r="G673" i="3"/>
  <c r="I673" i="3" l="1"/>
  <c r="W673" i="3" s="1"/>
  <c r="J673" i="3"/>
  <c r="M673" i="3"/>
  <c r="N673" i="3" s="1"/>
  <c r="P674" i="3"/>
  <c r="Q674" i="3" s="1"/>
  <c r="R674" i="3" s="1"/>
  <c r="S674" i="3" s="1"/>
  <c r="AA674" i="3"/>
  <c r="Z674" i="3"/>
  <c r="AC674" i="3"/>
  <c r="T674" i="3" l="1"/>
  <c r="L673" i="3"/>
  <c r="AH674" i="3" l="1"/>
  <c r="U673" i="3"/>
  <c r="E674" i="3" s="1"/>
  <c r="H674" i="3" s="1"/>
  <c r="AG674" i="3"/>
  <c r="Y672" i="3"/>
  <c r="D674" i="3" l="1"/>
  <c r="G674" i="3" s="1"/>
  <c r="K674" i="3"/>
  <c r="AE674" i="3" s="1"/>
  <c r="F674" i="3" l="1"/>
  <c r="I674" i="3"/>
  <c r="J674" i="3"/>
  <c r="AD674" i="3" s="1"/>
  <c r="M674" i="3"/>
  <c r="N674" i="3" s="1"/>
  <c r="V674" i="3"/>
  <c r="A675" i="3"/>
  <c r="B675" i="3" s="1"/>
  <c r="W674" i="3" l="1"/>
  <c r="L674" i="3"/>
  <c r="P675" i="3"/>
  <c r="Q675" i="3" s="1"/>
  <c r="R675" i="3" s="1"/>
  <c r="S675" i="3" s="1"/>
  <c r="AD675" i="3"/>
  <c r="AA675" i="3"/>
  <c r="AC675" i="3"/>
  <c r="Z675" i="3"/>
  <c r="U674" i="3" l="1"/>
  <c r="Y673" i="3"/>
  <c r="T675" i="3"/>
  <c r="AH675" i="3" s="1"/>
  <c r="AG675" i="3" l="1"/>
  <c r="D675" i="3"/>
  <c r="E675" i="3"/>
  <c r="H675" i="3" s="1"/>
  <c r="F675" i="3" l="1"/>
  <c r="G675" i="3"/>
  <c r="K675" i="3"/>
  <c r="AE675" i="3" s="1"/>
  <c r="I675" i="3" l="1"/>
  <c r="J675" i="3"/>
  <c r="M675" i="3"/>
  <c r="N675" i="3" s="1"/>
  <c r="V675" i="3"/>
  <c r="A676" i="3"/>
  <c r="B676" i="3" s="1"/>
  <c r="W675" i="3" l="1"/>
  <c r="L675" i="3"/>
  <c r="AD676" i="3"/>
  <c r="AC676" i="3"/>
  <c r="P676" i="3"/>
  <c r="Q676" i="3" s="1"/>
  <c r="R676" i="3" s="1"/>
  <c r="S676" i="3" s="1"/>
  <c r="Z676" i="3"/>
  <c r="AA676" i="3"/>
  <c r="T676" i="3" l="1"/>
  <c r="U675" i="3"/>
  <c r="Y674" i="3"/>
  <c r="E676" i="3" l="1"/>
  <c r="H676" i="3" s="1"/>
  <c r="K676" i="3" s="1"/>
  <c r="AE676" i="3" s="1"/>
  <c r="AH676" i="3"/>
  <c r="D676" i="3"/>
  <c r="G676" i="3" s="1"/>
  <c r="AG676" i="3"/>
  <c r="F676" i="3" l="1"/>
  <c r="I676" i="3"/>
  <c r="J676" i="3"/>
  <c r="M676" i="3"/>
  <c r="N676" i="3" s="1"/>
  <c r="V676" i="3"/>
  <c r="A677" i="3"/>
  <c r="B677" i="3" s="1"/>
  <c r="W676" i="3" l="1"/>
  <c r="L676" i="3"/>
  <c r="AA677" i="3"/>
  <c r="AC677" i="3"/>
  <c r="Z677" i="3"/>
  <c r="P677" i="3"/>
  <c r="Q677" i="3" s="1"/>
  <c r="R677" i="3" s="1"/>
  <c r="S677" i="3" s="1"/>
  <c r="U676" i="3" l="1"/>
  <c r="Y675" i="3"/>
  <c r="T677" i="3"/>
  <c r="AG677" i="3" s="1"/>
  <c r="D677" i="3" l="1"/>
  <c r="G677" i="3" s="1"/>
  <c r="AH677" i="3"/>
  <c r="E677" i="3"/>
  <c r="H677" i="3" s="1"/>
  <c r="F677" i="3" l="1"/>
  <c r="I677" i="3"/>
  <c r="J677" i="3"/>
  <c r="AD677" i="3" s="1"/>
  <c r="M677" i="3"/>
  <c r="N677" i="3" s="1"/>
  <c r="K677" i="3"/>
  <c r="AE677" i="3" s="1"/>
  <c r="V677" i="3" l="1"/>
  <c r="W677" i="3" s="1"/>
  <c r="A678" i="3"/>
  <c r="B678" i="3" s="1"/>
  <c r="L677" i="3"/>
  <c r="U677" i="3" l="1"/>
  <c r="Y676" i="3"/>
  <c r="AD678" i="3"/>
  <c r="P678" i="3"/>
  <c r="Q678" i="3" s="1"/>
  <c r="R678" i="3" s="1"/>
  <c r="S678" i="3" s="1"/>
  <c r="Z678" i="3"/>
  <c r="AC678" i="3"/>
  <c r="AA678" i="3"/>
  <c r="T678" i="3" l="1"/>
  <c r="AH678" i="3" s="1"/>
  <c r="E678" i="3" l="1"/>
  <c r="H678" i="3" s="1"/>
  <c r="K678" i="3" s="1"/>
  <c r="AE678" i="3" s="1"/>
  <c r="D678" i="3"/>
  <c r="AG678" i="3"/>
  <c r="F678" i="3" l="1"/>
  <c r="G678" i="3"/>
  <c r="J678" i="3" s="1"/>
  <c r="V678" i="3"/>
  <c r="A679" i="3"/>
  <c r="B679" i="3" s="1"/>
  <c r="M678" i="3" l="1"/>
  <c r="N678" i="3" s="1"/>
  <c r="I678" i="3"/>
  <c r="W678" i="3" s="1"/>
  <c r="L678" i="3"/>
  <c r="P679" i="3"/>
  <c r="Q679" i="3" s="1"/>
  <c r="R679" i="3" s="1"/>
  <c r="S679" i="3" s="1"/>
  <c r="AA679" i="3"/>
  <c r="Z679" i="3"/>
  <c r="AD679" i="3"/>
  <c r="AC679" i="3"/>
  <c r="T679" i="3" l="1"/>
  <c r="U678" i="3"/>
  <c r="Y677" i="3"/>
  <c r="E679" i="3" l="1"/>
  <c r="H679" i="3" s="1"/>
  <c r="K679" i="3" s="1"/>
  <c r="AE679" i="3" s="1"/>
  <c r="AH679" i="3"/>
  <c r="AG679" i="3"/>
  <c r="D679" i="3"/>
  <c r="F679" i="3" l="1"/>
  <c r="G679" i="3"/>
  <c r="V679" i="3"/>
  <c r="A680" i="3"/>
  <c r="B680" i="3" s="1"/>
  <c r="AC680" i="3" l="1"/>
  <c r="P680" i="3"/>
  <c r="Q680" i="3" s="1"/>
  <c r="R680" i="3" s="1"/>
  <c r="S680" i="3" s="1"/>
  <c r="AA680" i="3"/>
  <c r="Z680" i="3"/>
  <c r="AD680" i="3"/>
  <c r="I679" i="3"/>
  <c r="W679" i="3" s="1"/>
  <c r="J679" i="3"/>
  <c r="M679" i="3"/>
  <c r="N679" i="3" s="1"/>
  <c r="L679" i="3" l="1"/>
  <c r="T680" i="3"/>
  <c r="AH680" i="3" l="1"/>
  <c r="U679" i="3"/>
  <c r="E680" i="3" s="1"/>
  <c r="H680" i="3" s="1"/>
  <c r="AG680" i="3"/>
  <c r="Y678" i="3"/>
  <c r="D680" i="3" l="1"/>
  <c r="G680" i="3" s="1"/>
  <c r="K680" i="3"/>
  <c r="AE680" i="3" s="1"/>
  <c r="F680" i="3" l="1"/>
  <c r="I680" i="3"/>
  <c r="J680" i="3"/>
  <c r="M680" i="3"/>
  <c r="N680" i="3" s="1"/>
  <c r="V680" i="3"/>
  <c r="A681" i="3"/>
  <c r="B681" i="3" s="1"/>
  <c r="W680" i="3" l="1"/>
  <c r="L680" i="3"/>
  <c r="AD681" i="3"/>
  <c r="AA681" i="3"/>
  <c r="P681" i="3"/>
  <c r="Q681" i="3" s="1"/>
  <c r="R681" i="3" s="1"/>
  <c r="S681" i="3" s="1"/>
  <c r="Z681" i="3"/>
  <c r="AC681" i="3"/>
  <c r="U680" i="3" l="1"/>
  <c r="Y679" i="3"/>
  <c r="T681" i="3"/>
  <c r="E681" i="3" l="1"/>
  <c r="H681" i="3" s="1"/>
  <c r="K681" i="3" s="1"/>
  <c r="AE681" i="3" s="1"/>
  <c r="AG681" i="3"/>
  <c r="AH681" i="3"/>
  <c r="D681" i="3"/>
  <c r="F681" i="3" l="1"/>
  <c r="G681" i="3"/>
  <c r="V681" i="3"/>
  <c r="A682" i="3"/>
  <c r="B682" i="3" s="1"/>
  <c r="AD682" i="3" l="1"/>
  <c r="Z682" i="3"/>
  <c r="P682" i="3"/>
  <c r="Q682" i="3" s="1"/>
  <c r="R682" i="3" s="1"/>
  <c r="S682" i="3" s="1"/>
  <c r="AC682" i="3"/>
  <c r="AA682" i="3"/>
  <c r="I681" i="3"/>
  <c r="W681" i="3" s="1"/>
  <c r="J681" i="3"/>
  <c r="M681" i="3"/>
  <c r="N681" i="3" s="1"/>
  <c r="L681" i="3" l="1"/>
  <c r="T682" i="3"/>
  <c r="U681" i="3" l="1"/>
  <c r="E682" i="3" s="1"/>
  <c r="H682" i="3" s="1"/>
  <c r="AG682" i="3"/>
  <c r="AH682" i="3"/>
  <c r="Y680" i="3"/>
  <c r="D682" i="3" l="1"/>
  <c r="G682" i="3" s="1"/>
  <c r="K682" i="3"/>
  <c r="AE682" i="3" s="1"/>
  <c r="F682" i="3" l="1"/>
  <c r="V682" i="3"/>
  <c r="A683" i="3"/>
  <c r="B683" i="3" s="1"/>
  <c r="I682" i="3"/>
  <c r="J682" i="3"/>
  <c r="M682" i="3"/>
  <c r="N682" i="3" s="1"/>
  <c r="W682" i="3" l="1"/>
  <c r="L682" i="3"/>
  <c r="P683" i="3"/>
  <c r="Q683" i="3" s="1"/>
  <c r="R683" i="3" s="1"/>
  <c r="S683" i="3" s="1"/>
  <c r="AC683" i="3"/>
  <c r="AD683" i="3"/>
  <c r="AA683" i="3"/>
  <c r="Z683" i="3"/>
  <c r="U682" i="3" l="1"/>
  <c r="Y681" i="3"/>
  <c r="T683" i="3"/>
  <c r="E683" i="3" l="1"/>
  <c r="H683" i="3" s="1"/>
  <c r="K683" i="3" s="1"/>
  <c r="AE683" i="3" s="1"/>
  <c r="AH683" i="3"/>
  <c r="AG683" i="3"/>
  <c r="D683" i="3"/>
  <c r="F683" i="3" l="1"/>
  <c r="G683" i="3"/>
  <c r="V683" i="3"/>
  <c r="A684" i="3"/>
  <c r="B684" i="3" s="1"/>
  <c r="Z684" i="3" l="1"/>
  <c r="AA684" i="3"/>
  <c r="AC684" i="3"/>
  <c r="P684" i="3"/>
  <c r="Q684" i="3" s="1"/>
  <c r="R684" i="3" s="1"/>
  <c r="S684" i="3" s="1"/>
  <c r="I683" i="3"/>
  <c r="W683" i="3" s="1"/>
  <c r="J683" i="3"/>
  <c r="M683" i="3"/>
  <c r="N683" i="3" s="1"/>
  <c r="T684" i="3" l="1"/>
  <c r="L683" i="3"/>
  <c r="AH684" i="3" l="1"/>
  <c r="AG684" i="3"/>
  <c r="U683" i="3"/>
  <c r="D684" i="3" s="1"/>
  <c r="Y682" i="3"/>
  <c r="E684" i="3" l="1"/>
  <c r="H684" i="3" s="1"/>
  <c r="K684" i="3" s="1"/>
  <c r="AE684" i="3" s="1"/>
  <c r="G684" i="3"/>
  <c r="F684" i="3" l="1"/>
  <c r="V684" i="3"/>
  <c r="A685" i="3"/>
  <c r="B685" i="3" s="1"/>
  <c r="I684" i="3"/>
  <c r="J684" i="3"/>
  <c r="AD684" i="3" s="1"/>
  <c r="M684" i="3"/>
  <c r="N684" i="3" s="1"/>
  <c r="W684" i="3" l="1"/>
  <c r="L684" i="3"/>
  <c r="P685" i="3"/>
  <c r="Q685" i="3" s="1"/>
  <c r="R685" i="3" s="1"/>
  <c r="S685" i="3" s="1"/>
  <c r="Z685" i="3"/>
  <c r="AC685" i="3"/>
  <c r="AD685" i="3"/>
  <c r="AA685" i="3"/>
  <c r="U684" i="3" l="1"/>
  <c r="Y683" i="3"/>
  <c r="T685" i="3"/>
  <c r="AG685" i="3" s="1"/>
  <c r="D685" i="3" l="1"/>
  <c r="G685" i="3" s="1"/>
  <c r="E685" i="3"/>
  <c r="H685" i="3" s="1"/>
  <c r="AH685" i="3"/>
  <c r="F685" i="3" l="1"/>
  <c r="I685" i="3"/>
  <c r="J685" i="3"/>
  <c r="M685" i="3"/>
  <c r="N685" i="3" s="1"/>
  <c r="K685" i="3"/>
  <c r="AE685" i="3" s="1"/>
  <c r="V685" i="3" l="1"/>
  <c r="W685" i="3" s="1"/>
  <c r="A686" i="3"/>
  <c r="B686" i="3" s="1"/>
  <c r="L685" i="3"/>
  <c r="U685" i="3" l="1"/>
  <c r="Y684" i="3"/>
  <c r="AA686" i="3"/>
  <c r="AC686" i="3"/>
  <c r="AD686" i="3"/>
  <c r="P686" i="3"/>
  <c r="Q686" i="3" s="1"/>
  <c r="R686" i="3" s="1"/>
  <c r="S686" i="3" s="1"/>
  <c r="Z686" i="3"/>
  <c r="T686" i="3" l="1"/>
  <c r="D686" i="3" s="1"/>
  <c r="E686" i="3" l="1"/>
  <c r="H686" i="3" s="1"/>
  <c r="K686" i="3" s="1"/>
  <c r="AE686" i="3" s="1"/>
  <c r="AG686" i="3"/>
  <c r="AH686" i="3"/>
  <c r="G686" i="3"/>
  <c r="F686" i="3" l="1"/>
  <c r="V686" i="3"/>
  <c r="A687" i="3"/>
  <c r="B687" i="3" s="1"/>
  <c r="I686" i="3"/>
  <c r="J686" i="3"/>
  <c r="M686" i="3"/>
  <c r="N686" i="3" s="1"/>
  <c r="L686" i="3" l="1"/>
  <c r="W686" i="3"/>
  <c r="Z687" i="3"/>
  <c r="P687" i="3"/>
  <c r="Q687" i="3" s="1"/>
  <c r="R687" i="3" s="1"/>
  <c r="S687" i="3" s="1"/>
  <c r="AA687" i="3"/>
  <c r="AC687" i="3"/>
  <c r="U686" i="3" l="1"/>
  <c r="Y685" i="3"/>
  <c r="T687" i="3"/>
  <c r="AG687" i="3" s="1"/>
  <c r="AH687" i="3" l="1"/>
  <c r="D687" i="3"/>
  <c r="G687" i="3" s="1"/>
  <c r="E687" i="3"/>
  <c r="H687" i="3" s="1"/>
  <c r="K687" i="3" s="1"/>
  <c r="AE687" i="3" s="1"/>
  <c r="F687" i="3" l="1"/>
  <c r="I687" i="3"/>
  <c r="J687" i="3"/>
  <c r="AD687" i="3" s="1"/>
  <c r="M687" i="3"/>
  <c r="N687" i="3" s="1"/>
  <c r="V687" i="3"/>
  <c r="A688" i="3"/>
  <c r="B688" i="3" s="1"/>
  <c r="W687" i="3" l="1"/>
  <c r="L687" i="3"/>
  <c r="AC688" i="3"/>
  <c r="AA688" i="3"/>
  <c r="AD688" i="3"/>
  <c r="P688" i="3"/>
  <c r="Q688" i="3" s="1"/>
  <c r="R688" i="3" s="1"/>
  <c r="S688" i="3" s="1"/>
  <c r="Z688" i="3"/>
  <c r="U687" i="3" l="1"/>
  <c r="Y686" i="3"/>
  <c r="T688" i="3"/>
  <c r="AG688" i="3" s="1"/>
  <c r="E688" i="3" l="1"/>
  <c r="H688" i="3" s="1"/>
  <c r="K688" i="3" s="1"/>
  <c r="AE688" i="3" s="1"/>
  <c r="AH688" i="3"/>
  <c r="D688" i="3"/>
  <c r="F688" i="3" l="1"/>
  <c r="G688" i="3"/>
  <c r="V688" i="3"/>
  <c r="A689" i="3"/>
  <c r="B689" i="3" s="1"/>
  <c r="AA689" i="3" l="1"/>
  <c r="P689" i="3"/>
  <c r="Q689" i="3" s="1"/>
  <c r="R689" i="3" s="1"/>
  <c r="S689" i="3" s="1"/>
  <c r="Z689" i="3"/>
  <c r="AD689" i="3"/>
  <c r="AC689" i="3"/>
  <c r="I688" i="3"/>
  <c r="W688" i="3" s="1"/>
  <c r="J688" i="3"/>
  <c r="M688" i="3"/>
  <c r="N688" i="3" s="1"/>
  <c r="T689" i="3" l="1"/>
  <c r="L688" i="3"/>
  <c r="U688" i="3" l="1"/>
  <c r="D689" i="3" s="1"/>
  <c r="AG689" i="3"/>
  <c r="AH689" i="3"/>
  <c r="Y687" i="3"/>
  <c r="E689" i="3" l="1"/>
  <c r="H689" i="3" s="1"/>
  <c r="K689" i="3" s="1"/>
  <c r="AE689" i="3" s="1"/>
  <c r="G689" i="3"/>
  <c r="F689" i="3" l="1"/>
  <c r="I689" i="3"/>
  <c r="J689" i="3"/>
  <c r="M689" i="3"/>
  <c r="N689" i="3" s="1"/>
  <c r="V689" i="3"/>
  <c r="A690" i="3"/>
  <c r="B690" i="3" s="1"/>
  <c r="W689" i="3" l="1"/>
  <c r="L689" i="3"/>
  <c r="AA690" i="3"/>
  <c r="AC690" i="3"/>
  <c r="P690" i="3"/>
  <c r="Q690" i="3" s="1"/>
  <c r="R690" i="3" s="1"/>
  <c r="S690" i="3" s="1"/>
  <c r="AD690" i="3"/>
  <c r="Z690" i="3"/>
  <c r="U689" i="3" l="1"/>
  <c r="Y688" i="3"/>
  <c r="T690" i="3"/>
  <c r="AH690" i="3" s="1"/>
  <c r="D690" i="3" l="1"/>
  <c r="G690" i="3" s="1"/>
  <c r="E690" i="3"/>
  <c r="H690" i="3" s="1"/>
  <c r="K690" i="3" s="1"/>
  <c r="AE690" i="3" s="1"/>
  <c r="AG690" i="3"/>
  <c r="F690" i="3" l="1"/>
  <c r="I690" i="3"/>
  <c r="J690" i="3"/>
  <c r="M690" i="3"/>
  <c r="N690" i="3" s="1"/>
  <c r="V690" i="3"/>
  <c r="A691" i="3"/>
  <c r="B691" i="3" s="1"/>
  <c r="W690" i="3" l="1"/>
  <c r="L690" i="3"/>
  <c r="AA691" i="3"/>
  <c r="Z691" i="3"/>
  <c r="P691" i="3"/>
  <c r="Q691" i="3" s="1"/>
  <c r="R691" i="3" s="1"/>
  <c r="S691" i="3" s="1"/>
  <c r="AD691" i="3"/>
  <c r="AC691" i="3"/>
  <c r="T691" i="3" l="1"/>
  <c r="U690" i="3"/>
  <c r="Y689" i="3"/>
  <c r="D691" i="3" l="1"/>
  <c r="G691" i="3" s="1"/>
  <c r="AH691" i="3"/>
  <c r="E691" i="3"/>
  <c r="H691" i="3" s="1"/>
  <c r="AG691" i="3"/>
  <c r="F691" i="3" l="1"/>
  <c r="I691" i="3"/>
  <c r="J691" i="3"/>
  <c r="M691" i="3"/>
  <c r="N691" i="3" s="1"/>
  <c r="K691" i="3"/>
  <c r="AE691" i="3" s="1"/>
  <c r="V691" i="3" l="1"/>
  <c r="W691" i="3" s="1"/>
  <c r="A692" i="3"/>
  <c r="B692" i="3" s="1"/>
  <c r="L691" i="3"/>
  <c r="U691" i="3" l="1"/>
  <c r="Y690" i="3"/>
  <c r="AC692" i="3"/>
  <c r="AD692" i="3"/>
  <c r="AA692" i="3"/>
  <c r="Z692" i="3"/>
  <c r="P692" i="3"/>
  <c r="Q692" i="3" s="1"/>
  <c r="R692" i="3" s="1"/>
  <c r="S692" i="3" s="1"/>
  <c r="T692" i="3" l="1"/>
  <c r="E692" i="3" s="1"/>
  <c r="H692" i="3" s="1"/>
  <c r="D692" i="3" l="1"/>
  <c r="G692" i="3" s="1"/>
  <c r="AH692" i="3"/>
  <c r="K692" i="3"/>
  <c r="AE692" i="3" s="1"/>
  <c r="AG692" i="3"/>
  <c r="F692" i="3" l="1"/>
  <c r="I692" i="3"/>
  <c r="J692" i="3"/>
  <c r="M692" i="3"/>
  <c r="N692" i="3" s="1"/>
  <c r="V692" i="3"/>
  <c r="A693" i="3"/>
  <c r="B693" i="3" s="1"/>
  <c r="W692" i="3" l="1"/>
  <c r="L692" i="3"/>
  <c r="AC693" i="3"/>
  <c r="AA693" i="3"/>
  <c r="AD693" i="3"/>
  <c r="P693" i="3"/>
  <c r="Q693" i="3" s="1"/>
  <c r="R693" i="3" s="1"/>
  <c r="S693" i="3" s="1"/>
  <c r="Z693" i="3"/>
  <c r="U692" i="3" l="1"/>
  <c r="Y691" i="3"/>
  <c r="T693" i="3"/>
  <c r="AG693" i="3" s="1"/>
  <c r="D693" i="3" l="1"/>
  <c r="G693" i="3" s="1"/>
  <c r="E693" i="3"/>
  <c r="H693" i="3" s="1"/>
  <c r="K693" i="3" s="1"/>
  <c r="AE693" i="3" s="1"/>
  <c r="AH693" i="3"/>
  <c r="F693" i="3" l="1"/>
  <c r="V693" i="3"/>
  <c r="A694" i="3"/>
  <c r="B694" i="3" s="1"/>
  <c r="I693" i="3"/>
  <c r="J693" i="3"/>
  <c r="M693" i="3"/>
  <c r="N693" i="3" s="1"/>
  <c r="W693" i="3" l="1"/>
  <c r="L693" i="3"/>
  <c r="AA694" i="3"/>
  <c r="AC694" i="3"/>
  <c r="P694" i="3"/>
  <c r="Q694" i="3" s="1"/>
  <c r="R694" i="3" s="1"/>
  <c r="S694" i="3" s="1"/>
  <c r="Z694" i="3"/>
  <c r="U693" i="3" l="1"/>
  <c r="Y692" i="3"/>
  <c r="T694" i="3"/>
  <c r="AG694" i="3" s="1"/>
  <c r="E694" i="3" l="1"/>
  <c r="H694" i="3" s="1"/>
  <c r="K694" i="3" s="1"/>
  <c r="AE694" i="3" s="1"/>
  <c r="AH694" i="3"/>
  <c r="D694" i="3"/>
  <c r="G694" i="3" s="1"/>
  <c r="F694" i="3" l="1"/>
  <c r="I694" i="3"/>
  <c r="J694" i="3"/>
  <c r="AD694" i="3" s="1"/>
  <c r="M694" i="3"/>
  <c r="N694" i="3" s="1"/>
  <c r="V694" i="3"/>
  <c r="A695" i="3"/>
  <c r="B695" i="3" s="1"/>
  <c r="W694" i="3" l="1"/>
  <c r="L694" i="3"/>
  <c r="AD695" i="3"/>
  <c r="Z695" i="3"/>
  <c r="P695" i="3"/>
  <c r="Q695" i="3" s="1"/>
  <c r="R695" i="3" s="1"/>
  <c r="S695" i="3" s="1"/>
  <c r="AC695" i="3"/>
  <c r="AA695" i="3"/>
  <c r="U694" i="3" l="1"/>
  <c r="Y693" i="3"/>
  <c r="T695" i="3"/>
  <c r="E695" i="3" l="1"/>
  <c r="H695" i="3" s="1"/>
  <c r="K695" i="3" s="1"/>
  <c r="AE695" i="3" s="1"/>
  <c r="D695" i="3"/>
  <c r="AG695" i="3"/>
  <c r="AH695" i="3"/>
  <c r="V695" i="3" l="1"/>
  <c r="A696" i="3"/>
  <c r="B696" i="3" s="1"/>
  <c r="F695" i="3"/>
  <c r="G695" i="3"/>
  <c r="I695" i="3" l="1"/>
  <c r="W695" i="3" s="1"/>
  <c r="J695" i="3"/>
  <c r="M695" i="3"/>
  <c r="N695" i="3" s="1"/>
  <c r="AD696" i="3"/>
  <c r="AA696" i="3"/>
  <c r="Z696" i="3"/>
  <c r="P696" i="3"/>
  <c r="Q696" i="3" s="1"/>
  <c r="R696" i="3" s="1"/>
  <c r="S696" i="3" s="1"/>
  <c r="AC696" i="3"/>
  <c r="T696" i="3" l="1"/>
  <c r="L695" i="3"/>
  <c r="AH696" i="3" l="1"/>
  <c r="U695" i="3"/>
  <c r="D696" i="3" s="1"/>
  <c r="AG696" i="3"/>
  <c r="Y694" i="3"/>
  <c r="E696" i="3" l="1"/>
  <c r="H696" i="3" s="1"/>
  <c r="K696" i="3" s="1"/>
  <c r="AE696" i="3" s="1"/>
  <c r="G696" i="3"/>
  <c r="F696" i="3" l="1"/>
  <c r="V696" i="3"/>
  <c r="A697" i="3"/>
  <c r="B697" i="3" s="1"/>
  <c r="I696" i="3"/>
  <c r="J696" i="3"/>
  <c r="M696" i="3"/>
  <c r="N696" i="3" s="1"/>
  <c r="W696" i="3" l="1"/>
  <c r="P697" i="3"/>
  <c r="Q697" i="3" s="1"/>
  <c r="R697" i="3" s="1"/>
  <c r="S697" i="3" s="1"/>
  <c r="Z697" i="3"/>
  <c r="AA697" i="3"/>
  <c r="AC697" i="3"/>
  <c r="L696" i="3"/>
  <c r="U696" i="3" l="1"/>
  <c r="Y695" i="3"/>
  <c r="T697" i="3"/>
  <c r="E697" i="3" l="1"/>
  <c r="H697" i="3" s="1"/>
  <c r="K697" i="3" s="1"/>
  <c r="AE697" i="3" s="1"/>
  <c r="D697" i="3"/>
  <c r="AH697" i="3"/>
  <c r="AG697" i="3"/>
  <c r="F697" i="3" l="1"/>
  <c r="G697" i="3"/>
  <c r="M697" i="3" s="1"/>
  <c r="N697" i="3" s="1"/>
  <c r="V697" i="3"/>
  <c r="A698" i="3"/>
  <c r="B698" i="3" s="1"/>
  <c r="I697" i="3" l="1"/>
  <c r="W697" i="3" s="1"/>
  <c r="J697" i="3"/>
  <c r="AD698" i="3"/>
  <c r="AA698" i="3"/>
  <c r="Z698" i="3"/>
  <c r="AC698" i="3"/>
  <c r="P698" i="3"/>
  <c r="Q698" i="3" s="1"/>
  <c r="R698" i="3" s="1"/>
  <c r="S698" i="3" s="1"/>
  <c r="L697" i="3" l="1"/>
  <c r="U697" i="3" s="1"/>
  <c r="AD697" i="3"/>
  <c r="Y696" i="3"/>
  <c r="T698" i="3"/>
  <c r="AG698" i="3" s="1"/>
  <c r="E698" i="3" l="1"/>
  <c r="H698" i="3" s="1"/>
  <c r="K698" i="3" s="1"/>
  <c r="AE698" i="3" s="1"/>
  <c r="AH698" i="3"/>
  <c r="D698" i="3"/>
  <c r="F698" i="3" l="1"/>
  <c r="G698" i="3"/>
  <c r="J698" i="3" s="1"/>
  <c r="V698" i="3"/>
  <c r="A699" i="3"/>
  <c r="B699" i="3" s="1"/>
  <c r="M698" i="3" l="1"/>
  <c r="N698" i="3" s="1"/>
  <c r="I698" i="3"/>
  <c r="W698" i="3" s="1"/>
  <c r="L698" i="3"/>
  <c r="Z699" i="3"/>
  <c r="P699" i="3"/>
  <c r="Q699" i="3" s="1"/>
  <c r="R699" i="3" s="1"/>
  <c r="S699" i="3" s="1"/>
  <c r="AA699" i="3"/>
  <c r="AD699" i="3"/>
  <c r="AC699" i="3"/>
  <c r="T699" i="3" l="1"/>
  <c r="U698" i="3"/>
  <c r="Y697" i="3"/>
  <c r="D699" i="3" l="1"/>
  <c r="G699" i="3" s="1"/>
  <c r="AG699" i="3"/>
  <c r="AH699" i="3"/>
  <c r="E699" i="3"/>
  <c r="H699" i="3" s="1"/>
  <c r="K699" i="3" l="1"/>
  <c r="AE699" i="3" s="1"/>
  <c r="I699" i="3"/>
  <c r="J699" i="3"/>
  <c r="M699" i="3"/>
  <c r="N699" i="3" s="1"/>
  <c r="F699" i="3"/>
  <c r="L699" i="3" l="1"/>
  <c r="V699" i="3"/>
  <c r="W699" i="3" s="1"/>
  <c r="A700" i="3"/>
  <c r="B700" i="3" s="1"/>
  <c r="U699" i="3" l="1"/>
  <c r="Y698" i="3"/>
  <c r="Z700" i="3"/>
  <c r="P700" i="3"/>
  <c r="Q700" i="3" s="1"/>
  <c r="R700" i="3" s="1"/>
  <c r="S700" i="3" s="1"/>
  <c r="AD700" i="3"/>
  <c r="AC700" i="3"/>
  <c r="AA700" i="3"/>
  <c r="T700" i="3" l="1"/>
  <c r="D700" i="3" s="1"/>
  <c r="AH700" i="3" l="1"/>
  <c r="AG700" i="3"/>
  <c r="E700" i="3"/>
  <c r="H700" i="3" s="1"/>
  <c r="K700" i="3" s="1"/>
  <c r="AE700" i="3" s="1"/>
  <c r="G700" i="3"/>
  <c r="F700" i="3" l="1"/>
  <c r="I700" i="3"/>
  <c r="J700" i="3"/>
  <c r="M700" i="3"/>
  <c r="N700" i="3" s="1"/>
  <c r="V700" i="3"/>
  <c r="A701" i="3"/>
  <c r="B701" i="3" s="1"/>
  <c r="W700" i="3" l="1"/>
  <c r="L700" i="3"/>
  <c r="AC701" i="3"/>
  <c r="AA701" i="3"/>
  <c r="Z701" i="3"/>
  <c r="P701" i="3"/>
  <c r="Q701" i="3" s="1"/>
  <c r="R701" i="3" s="1"/>
  <c r="S701" i="3" s="1"/>
  <c r="AD701" i="3"/>
  <c r="U700" i="3" l="1"/>
  <c r="Y699" i="3"/>
  <c r="T701" i="3"/>
  <c r="AG701" i="3" s="1"/>
  <c r="AH701" i="3" l="1"/>
  <c r="E701" i="3"/>
  <c r="H701" i="3" s="1"/>
  <c r="D701" i="3"/>
  <c r="F701" i="3" l="1"/>
  <c r="G701" i="3"/>
  <c r="K701" i="3"/>
  <c r="AE701" i="3" s="1"/>
  <c r="I701" i="3" l="1"/>
  <c r="J701" i="3"/>
  <c r="M701" i="3"/>
  <c r="N701" i="3" s="1"/>
  <c r="V701" i="3"/>
  <c r="A702" i="3"/>
  <c r="B702" i="3" s="1"/>
  <c r="W701" i="3" l="1"/>
  <c r="L701" i="3"/>
  <c r="AC702" i="3"/>
  <c r="AD702" i="3"/>
  <c r="P702" i="3"/>
  <c r="Q702" i="3" s="1"/>
  <c r="R702" i="3" s="1"/>
  <c r="S702" i="3" s="1"/>
  <c r="Z702" i="3"/>
  <c r="AA702" i="3"/>
  <c r="U701" i="3" l="1"/>
  <c r="Y700" i="3"/>
  <c r="T702" i="3"/>
  <c r="AH702" i="3" s="1"/>
  <c r="D702" i="3" l="1"/>
  <c r="G702" i="3" s="1"/>
  <c r="E702" i="3"/>
  <c r="H702" i="3" s="1"/>
  <c r="K702" i="3" s="1"/>
  <c r="AE702" i="3" s="1"/>
  <c r="AG702" i="3"/>
  <c r="F702" i="3" l="1"/>
  <c r="V702" i="3"/>
  <c r="A703" i="3"/>
  <c r="B703" i="3" s="1"/>
  <c r="I702" i="3"/>
  <c r="J702" i="3"/>
  <c r="M702" i="3"/>
  <c r="N702" i="3" s="1"/>
  <c r="W702" i="3" l="1"/>
  <c r="L702" i="3"/>
  <c r="AC703" i="3"/>
  <c r="P703" i="3"/>
  <c r="Q703" i="3" s="1"/>
  <c r="R703" i="3" s="1"/>
  <c r="S703" i="3" s="1"/>
  <c r="AA703" i="3"/>
  <c r="Z703" i="3"/>
  <c r="T703" i="3" l="1"/>
  <c r="AH703" i="3" s="1"/>
  <c r="U702" i="3"/>
  <c r="Y701" i="3"/>
  <c r="E703" i="3" l="1"/>
  <c r="H703" i="3" s="1"/>
  <c r="K703" i="3" s="1"/>
  <c r="AE703" i="3" s="1"/>
  <c r="AG703" i="3"/>
  <c r="D703" i="3"/>
  <c r="F703" i="3" l="1"/>
  <c r="G703" i="3"/>
  <c r="V703" i="3"/>
  <c r="A704" i="3"/>
  <c r="B704" i="3" s="1"/>
  <c r="P704" i="3" l="1"/>
  <c r="Q704" i="3" s="1"/>
  <c r="R704" i="3" s="1"/>
  <c r="S704" i="3" s="1"/>
  <c r="AC704" i="3"/>
  <c r="Z704" i="3"/>
  <c r="AA704" i="3"/>
  <c r="I703" i="3"/>
  <c r="W703" i="3" s="1"/>
  <c r="J703" i="3"/>
  <c r="AD703" i="3" s="1"/>
  <c r="M703" i="3"/>
  <c r="N703" i="3" s="1"/>
  <c r="T704" i="3" l="1"/>
  <c r="L703" i="3"/>
  <c r="U703" i="3" l="1"/>
  <c r="D704" i="3" s="1"/>
  <c r="AG704" i="3"/>
  <c r="AH704" i="3"/>
  <c r="Y702" i="3"/>
  <c r="G704" i="3" l="1"/>
  <c r="E704" i="3"/>
  <c r="H704" i="3" s="1"/>
  <c r="F704" i="3" l="1"/>
  <c r="I704" i="3"/>
  <c r="J704" i="3"/>
  <c r="AD704" i="3" s="1"/>
  <c r="M704" i="3"/>
  <c r="N704" i="3" s="1"/>
  <c r="K704" i="3"/>
  <c r="AE704" i="3" s="1"/>
  <c r="V704" i="3" l="1"/>
  <c r="W704" i="3" s="1"/>
  <c r="A705" i="3"/>
  <c r="B705" i="3" s="1"/>
  <c r="L704" i="3"/>
  <c r="U704" i="3" l="1"/>
  <c r="Y703" i="3"/>
  <c r="Z705" i="3"/>
  <c r="P705" i="3"/>
  <c r="Q705" i="3" s="1"/>
  <c r="R705" i="3" s="1"/>
  <c r="S705" i="3" s="1"/>
  <c r="AC705" i="3"/>
  <c r="AA705" i="3"/>
  <c r="T705" i="3" l="1"/>
  <c r="AH705" i="3" s="1"/>
  <c r="AG705" i="3" l="1"/>
  <c r="D705" i="3"/>
  <c r="E705" i="3"/>
  <c r="H705" i="3" s="1"/>
  <c r="F705" i="3" l="1"/>
  <c r="G705" i="3"/>
  <c r="K705" i="3"/>
  <c r="AE705" i="3" s="1"/>
  <c r="I705" i="3" l="1"/>
  <c r="J705" i="3"/>
  <c r="AD705" i="3" s="1"/>
  <c r="M705" i="3"/>
  <c r="N705" i="3" s="1"/>
  <c r="V705" i="3"/>
  <c r="A706" i="3"/>
  <c r="B706" i="3" s="1"/>
  <c r="W705" i="3" l="1"/>
  <c r="L705" i="3"/>
  <c r="P706" i="3"/>
  <c r="Q706" i="3" s="1"/>
  <c r="R706" i="3" s="1"/>
  <c r="S706" i="3" s="1"/>
  <c r="AA706" i="3"/>
  <c r="AC706" i="3"/>
  <c r="Z706" i="3"/>
  <c r="U705" i="3" l="1"/>
  <c r="Y704" i="3"/>
  <c r="T706" i="3"/>
  <c r="AH706" i="3" s="1"/>
  <c r="E706" i="3" l="1"/>
  <c r="H706" i="3" s="1"/>
  <c r="D706" i="3"/>
  <c r="AG706" i="3"/>
  <c r="K706" i="3" l="1"/>
  <c r="AE706" i="3" s="1"/>
  <c r="F706" i="3"/>
  <c r="G706" i="3"/>
  <c r="I706" i="3" l="1"/>
  <c r="J706" i="3"/>
  <c r="AD706" i="3" s="1"/>
  <c r="M706" i="3"/>
  <c r="N706" i="3" s="1"/>
  <c r="V706" i="3"/>
  <c r="A707" i="3"/>
  <c r="B707" i="3" s="1"/>
  <c r="W706" i="3" l="1"/>
  <c r="P707" i="3"/>
  <c r="Q707" i="3" s="1"/>
  <c r="R707" i="3" s="1"/>
  <c r="S707" i="3" s="1"/>
  <c r="Z707" i="3"/>
  <c r="AC707" i="3"/>
  <c r="AA707" i="3"/>
  <c r="L706" i="3"/>
  <c r="T707" i="3" l="1"/>
  <c r="AG707" i="3" s="1"/>
  <c r="U706" i="3"/>
  <c r="Y705" i="3"/>
  <c r="E707" i="3" l="1"/>
  <c r="H707" i="3" s="1"/>
  <c r="K707" i="3" s="1"/>
  <c r="AE707" i="3" s="1"/>
  <c r="D707" i="3"/>
  <c r="AH707" i="3"/>
  <c r="V707" i="3" l="1"/>
  <c r="A708" i="3"/>
  <c r="B708" i="3" s="1"/>
  <c r="F707" i="3"/>
  <c r="G707" i="3"/>
  <c r="I707" i="3" l="1"/>
  <c r="W707" i="3" s="1"/>
  <c r="J707" i="3"/>
  <c r="AD707" i="3" s="1"/>
  <c r="M707" i="3"/>
  <c r="N707" i="3" s="1"/>
  <c r="P708" i="3"/>
  <c r="Q708" i="3" s="1"/>
  <c r="R708" i="3" s="1"/>
  <c r="S708" i="3" s="1"/>
  <c r="AC708" i="3"/>
  <c r="Z708" i="3"/>
  <c r="AA708" i="3"/>
  <c r="T708" i="3" l="1"/>
  <c r="L707" i="3"/>
  <c r="U707" i="3" l="1"/>
  <c r="D708" i="3" s="1"/>
  <c r="AG708" i="3"/>
  <c r="AH708" i="3"/>
  <c r="Y706" i="3"/>
  <c r="E708" i="3" l="1"/>
  <c r="H708" i="3" s="1"/>
  <c r="K708" i="3" s="1"/>
  <c r="AE708" i="3" s="1"/>
  <c r="G708" i="3"/>
  <c r="F708" i="3" l="1"/>
  <c r="I708" i="3"/>
  <c r="J708" i="3"/>
  <c r="AD708" i="3" s="1"/>
  <c r="M708" i="3"/>
  <c r="N708" i="3" s="1"/>
  <c r="V708" i="3"/>
  <c r="A709" i="3"/>
  <c r="B709" i="3" s="1"/>
  <c r="W708" i="3" l="1"/>
  <c r="L708" i="3"/>
  <c r="Z709" i="3"/>
  <c r="AA709" i="3"/>
  <c r="P709" i="3"/>
  <c r="Q709" i="3" s="1"/>
  <c r="R709" i="3" s="1"/>
  <c r="S709" i="3" s="1"/>
  <c r="AC709" i="3"/>
  <c r="U708" i="3" l="1"/>
  <c r="Y707" i="3"/>
  <c r="T709" i="3"/>
  <c r="AG709" i="3" s="1"/>
  <c r="AH709" i="3" l="1"/>
  <c r="E709" i="3"/>
  <c r="H709" i="3" s="1"/>
  <c r="D709" i="3"/>
  <c r="F709" i="3" l="1"/>
  <c r="G709" i="3"/>
  <c r="K709" i="3"/>
  <c r="AE709" i="3" s="1"/>
  <c r="V709" i="3" l="1"/>
  <c r="A710" i="3"/>
  <c r="B710" i="3" s="1"/>
  <c r="I709" i="3"/>
  <c r="J709" i="3"/>
  <c r="AD709" i="3" s="1"/>
  <c r="M709" i="3"/>
  <c r="N709" i="3" s="1"/>
  <c r="W709" i="3" l="1"/>
  <c r="L709" i="3"/>
  <c r="AC710" i="3"/>
  <c r="Z710" i="3"/>
  <c r="AA710" i="3"/>
  <c r="P710" i="3"/>
  <c r="Q710" i="3" s="1"/>
  <c r="R710" i="3" s="1"/>
  <c r="S710" i="3" s="1"/>
  <c r="U709" i="3" l="1"/>
  <c r="Y708" i="3"/>
  <c r="T710" i="3"/>
  <c r="AH710" i="3" s="1"/>
  <c r="D710" i="3" l="1"/>
  <c r="E710" i="3"/>
  <c r="H710" i="3" s="1"/>
  <c r="AG710" i="3"/>
  <c r="F710" i="3" l="1"/>
  <c r="G710" i="3"/>
  <c r="K710" i="3"/>
  <c r="AE710" i="3" s="1"/>
  <c r="I710" i="3" l="1"/>
  <c r="J710" i="3"/>
  <c r="AD710" i="3" s="1"/>
  <c r="M710" i="3"/>
  <c r="N710" i="3" s="1"/>
  <c r="V710" i="3"/>
  <c r="A711" i="3"/>
  <c r="B711" i="3" s="1"/>
  <c r="W710" i="3" l="1"/>
  <c r="L710" i="3"/>
  <c r="AA711" i="3"/>
  <c r="AC711" i="3"/>
  <c r="Z711" i="3"/>
  <c r="P711" i="3"/>
  <c r="Q711" i="3" s="1"/>
  <c r="R711" i="3" s="1"/>
  <c r="S711" i="3" s="1"/>
  <c r="T711" i="3" l="1"/>
  <c r="U710" i="3"/>
  <c r="Y709" i="3"/>
  <c r="D711" i="3" l="1"/>
  <c r="G711" i="3" s="1"/>
  <c r="E711" i="3"/>
  <c r="H711" i="3" s="1"/>
  <c r="AH711" i="3"/>
  <c r="AG711" i="3"/>
  <c r="F711" i="3" l="1"/>
  <c r="K711" i="3"/>
  <c r="AE711" i="3" s="1"/>
  <c r="I711" i="3"/>
  <c r="J711" i="3"/>
  <c r="AD711" i="3" s="1"/>
  <c r="M711" i="3"/>
  <c r="N711" i="3" s="1"/>
  <c r="L711" i="3" l="1"/>
  <c r="V711" i="3"/>
  <c r="W711" i="3" s="1"/>
  <c r="A712" i="3"/>
  <c r="B712" i="3" s="1"/>
  <c r="AC712" i="3" l="1"/>
  <c r="P712" i="3"/>
  <c r="Q712" i="3" s="1"/>
  <c r="R712" i="3" s="1"/>
  <c r="S712" i="3" s="1"/>
  <c r="AA712" i="3"/>
  <c r="Z712" i="3"/>
  <c r="U711" i="3"/>
  <c r="Y710" i="3"/>
  <c r="T712" i="3" l="1"/>
  <c r="AG712" i="3" l="1"/>
  <c r="D712" i="3"/>
  <c r="E712" i="3"/>
  <c r="H712" i="3" s="1"/>
  <c r="AH712" i="3"/>
  <c r="K712" i="3" l="1"/>
  <c r="AE712" i="3" s="1"/>
  <c r="F712" i="3"/>
  <c r="G712" i="3"/>
  <c r="V712" i="3" l="1"/>
  <c r="A713" i="3"/>
  <c r="B713" i="3" s="1"/>
  <c r="I712" i="3"/>
  <c r="J712" i="3"/>
  <c r="AD712" i="3" s="1"/>
  <c r="M712" i="3"/>
  <c r="N712" i="3" s="1"/>
  <c r="W712" i="3" l="1"/>
  <c r="L712" i="3"/>
  <c r="Z713" i="3"/>
  <c r="P713" i="3"/>
  <c r="Q713" i="3" s="1"/>
  <c r="R713" i="3" s="1"/>
  <c r="S713" i="3" s="1"/>
  <c r="AC713" i="3"/>
  <c r="AA713" i="3"/>
  <c r="T713" i="3" l="1"/>
  <c r="AH713" i="3" s="1"/>
  <c r="U712" i="3"/>
  <c r="Y711" i="3"/>
  <c r="D713" i="3" l="1"/>
  <c r="AG713" i="3"/>
  <c r="E713" i="3"/>
  <c r="H713" i="3" s="1"/>
  <c r="F713" i="3" l="1"/>
  <c r="G713" i="3"/>
  <c r="M713" i="3" s="1"/>
  <c r="N713" i="3" s="1"/>
  <c r="K713" i="3"/>
  <c r="AE713" i="3" s="1"/>
  <c r="I713" i="3" l="1"/>
  <c r="J713" i="3"/>
  <c r="V713" i="3"/>
  <c r="A714" i="3"/>
  <c r="B714" i="3" s="1"/>
  <c r="L713" i="3" l="1"/>
  <c r="Y712" i="3" s="1"/>
  <c r="AD713" i="3"/>
  <c r="W713" i="3"/>
  <c r="AA714" i="3"/>
  <c r="P714" i="3"/>
  <c r="Q714" i="3" s="1"/>
  <c r="R714" i="3" s="1"/>
  <c r="S714" i="3" s="1"/>
  <c r="Z714" i="3"/>
  <c r="AC714" i="3"/>
  <c r="U713" i="3" l="1"/>
  <c r="T714" i="3"/>
  <c r="AH714" i="3" s="1"/>
  <c r="D714" i="3" l="1"/>
  <c r="G714" i="3" s="1"/>
  <c r="E714" i="3"/>
  <c r="H714" i="3" s="1"/>
  <c r="K714" i="3" s="1"/>
  <c r="AE714" i="3" s="1"/>
  <c r="AG714" i="3"/>
  <c r="F714" i="3" l="1"/>
  <c r="V714" i="3"/>
  <c r="A715" i="3"/>
  <c r="B715" i="3" s="1"/>
  <c r="I714" i="3"/>
  <c r="J714" i="3"/>
  <c r="AD714" i="3" s="1"/>
  <c r="M714" i="3"/>
  <c r="N714" i="3" s="1"/>
  <c r="L714" i="3" l="1"/>
  <c r="W714" i="3"/>
  <c r="AC715" i="3"/>
  <c r="P715" i="3"/>
  <c r="Q715" i="3" s="1"/>
  <c r="R715" i="3" s="1"/>
  <c r="S715" i="3" s="1"/>
  <c r="Z715" i="3"/>
  <c r="AA715" i="3"/>
  <c r="U714" i="3" l="1"/>
  <c r="Y713" i="3"/>
  <c r="T715" i="3"/>
  <c r="AG715" i="3" s="1"/>
  <c r="AH715" i="3" l="1"/>
  <c r="D715" i="3"/>
  <c r="G715" i="3" s="1"/>
  <c r="E715" i="3"/>
  <c r="H715" i="3" s="1"/>
  <c r="F715" i="3" l="1"/>
  <c r="I715" i="3"/>
  <c r="J715" i="3"/>
  <c r="AD715" i="3" s="1"/>
  <c r="M715" i="3"/>
  <c r="N715" i="3" s="1"/>
  <c r="K715" i="3"/>
  <c r="AE715" i="3" s="1"/>
  <c r="V715" i="3" l="1"/>
  <c r="W715" i="3" s="1"/>
  <c r="A716" i="3"/>
  <c r="B716" i="3" s="1"/>
  <c r="L715" i="3"/>
  <c r="U715" i="3" l="1"/>
  <c r="Y714" i="3"/>
  <c r="AC716" i="3"/>
  <c r="Z716" i="3"/>
  <c r="P716" i="3"/>
  <c r="Q716" i="3" s="1"/>
  <c r="R716" i="3" s="1"/>
  <c r="S716" i="3" s="1"/>
  <c r="AA716" i="3"/>
  <c r="T716" i="3" l="1"/>
  <c r="D716" i="3" s="1"/>
  <c r="E716" i="3" l="1"/>
  <c r="H716" i="3" s="1"/>
  <c r="K716" i="3" s="1"/>
  <c r="AE716" i="3" s="1"/>
  <c r="AH716" i="3"/>
  <c r="AG716" i="3"/>
  <c r="G716" i="3"/>
  <c r="F716" i="3" l="1"/>
  <c r="I716" i="3"/>
  <c r="J716" i="3"/>
  <c r="AD716" i="3" s="1"/>
  <c r="M716" i="3"/>
  <c r="N716" i="3" s="1"/>
  <c r="V716" i="3"/>
  <c r="A717" i="3"/>
  <c r="B717" i="3" s="1"/>
  <c r="W716" i="3" l="1"/>
  <c r="L716" i="3"/>
  <c r="AC717" i="3"/>
  <c r="P717" i="3"/>
  <c r="Q717" i="3" s="1"/>
  <c r="R717" i="3" s="1"/>
  <c r="S717" i="3" s="1"/>
  <c r="Z717" i="3"/>
  <c r="AA717" i="3"/>
  <c r="U716" i="3" l="1"/>
  <c r="Y715" i="3"/>
  <c r="T717" i="3"/>
  <c r="AG717" i="3" s="1"/>
  <c r="E717" i="3" l="1"/>
  <c r="H717" i="3" s="1"/>
  <c r="K717" i="3" s="1"/>
  <c r="AE717" i="3" s="1"/>
  <c r="AH717" i="3"/>
  <c r="D717" i="3"/>
  <c r="V717" i="3" l="1"/>
  <c r="A718" i="3"/>
  <c r="B718" i="3" s="1"/>
  <c r="F717" i="3"/>
  <c r="G717" i="3"/>
  <c r="I717" i="3" l="1"/>
  <c r="W717" i="3" s="1"/>
  <c r="J717" i="3"/>
  <c r="AD717" i="3" s="1"/>
  <c r="M717" i="3"/>
  <c r="N717" i="3" s="1"/>
  <c r="P718" i="3"/>
  <c r="Q718" i="3" s="1"/>
  <c r="R718" i="3" s="1"/>
  <c r="S718" i="3" s="1"/>
  <c r="AC718" i="3"/>
  <c r="Z718" i="3"/>
  <c r="AA718" i="3"/>
  <c r="L717" i="3" l="1"/>
  <c r="T718" i="3"/>
  <c r="U717" i="3" l="1"/>
  <c r="E718" i="3" s="1"/>
  <c r="H718" i="3" s="1"/>
  <c r="AH718" i="3"/>
  <c r="AG718" i="3"/>
  <c r="Y716" i="3"/>
  <c r="K718" i="3" l="1"/>
  <c r="AE718" i="3" s="1"/>
  <c r="D718" i="3"/>
  <c r="V718" i="3" l="1"/>
  <c r="A719" i="3"/>
  <c r="B719" i="3" s="1"/>
  <c r="F718" i="3"/>
  <c r="G718" i="3"/>
  <c r="I718" i="3" l="1"/>
  <c r="W718" i="3" s="1"/>
  <c r="J718" i="3"/>
  <c r="AD718" i="3" s="1"/>
  <c r="M718" i="3"/>
  <c r="N718" i="3" s="1"/>
  <c r="Z719" i="3"/>
  <c r="P719" i="3"/>
  <c r="Q719" i="3" s="1"/>
  <c r="R719" i="3" s="1"/>
  <c r="S719" i="3" s="1"/>
  <c r="AA719" i="3"/>
  <c r="AC719" i="3"/>
  <c r="T719" i="3" l="1"/>
  <c r="L718" i="3"/>
  <c r="AG719" i="3" l="1"/>
  <c r="AH719" i="3"/>
  <c r="U718" i="3"/>
  <c r="E719" i="3" s="1"/>
  <c r="H719" i="3" s="1"/>
  <c r="Y717" i="3"/>
  <c r="D719" i="3" l="1"/>
  <c r="G719" i="3" s="1"/>
  <c r="K719" i="3"/>
  <c r="AE719" i="3" s="1"/>
  <c r="F719" i="3" l="1"/>
  <c r="I719" i="3"/>
  <c r="J719" i="3"/>
  <c r="AD719" i="3" s="1"/>
  <c r="M719" i="3"/>
  <c r="N719" i="3" s="1"/>
  <c r="V719" i="3"/>
  <c r="A720" i="3"/>
  <c r="B720" i="3" s="1"/>
  <c r="W719" i="3" l="1"/>
  <c r="L719" i="3"/>
  <c r="P720" i="3"/>
  <c r="Q720" i="3" s="1"/>
  <c r="R720" i="3" s="1"/>
  <c r="S720" i="3" s="1"/>
  <c r="AA720" i="3"/>
  <c r="AC720" i="3"/>
  <c r="Z720" i="3"/>
  <c r="U719" i="3" l="1"/>
  <c r="Y718" i="3"/>
  <c r="T720" i="3"/>
  <c r="AG720" i="3" s="1"/>
  <c r="E720" i="3" l="1"/>
  <c r="H720" i="3" s="1"/>
  <c r="K720" i="3" s="1"/>
  <c r="AE720" i="3" s="1"/>
  <c r="D720" i="3"/>
  <c r="AH720" i="3"/>
  <c r="V720" i="3" l="1"/>
  <c r="A721" i="3"/>
  <c r="B721" i="3" s="1"/>
  <c r="F720" i="3"/>
  <c r="G720" i="3"/>
  <c r="I720" i="3" l="1"/>
  <c r="W720" i="3" s="1"/>
  <c r="J720" i="3"/>
  <c r="AD720" i="3" s="1"/>
  <c r="M720" i="3"/>
  <c r="N720" i="3" s="1"/>
  <c r="AA721" i="3"/>
  <c r="Z721" i="3"/>
  <c r="AC721" i="3"/>
  <c r="P721" i="3"/>
  <c r="Q721" i="3" s="1"/>
  <c r="R721" i="3" s="1"/>
  <c r="S721" i="3" s="1"/>
  <c r="T721" i="3" l="1"/>
  <c r="L720" i="3"/>
  <c r="AG721" i="3" l="1"/>
  <c r="U720" i="3"/>
  <c r="D721" i="3" s="1"/>
  <c r="AH721" i="3"/>
  <c r="Y719" i="3"/>
  <c r="G721" i="3" l="1"/>
  <c r="E721" i="3"/>
  <c r="H721" i="3" s="1"/>
  <c r="F721" i="3" l="1"/>
  <c r="I721" i="3"/>
  <c r="J721" i="3"/>
  <c r="AD721" i="3" s="1"/>
  <c r="M721" i="3"/>
  <c r="N721" i="3" s="1"/>
  <c r="K721" i="3"/>
  <c r="AE721" i="3" s="1"/>
  <c r="V721" i="3" l="1"/>
  <c r="W721" i="3" s="1"/>
  <c r="A722" i="3"/>
  <c r="B722" i="3" s="1"/>
  <c r="L721" i="3"/>
  <c r="U721" i="3" l="1"/>
  <c r="Y720" i="3"/>
  <c r="AA722" i="3"/>
  <c r="AC722" i="3"/>
  <c r="P722" i="3"/>
  <c r="Q722" i="3" s="1"/>
  <c r="R722" i="3" s="1"/>
  <c r="S722" i="3" s="1"/>
  <c r="Z722" i="3"/>
  <c r="T722" i="3" l="1"/>
  <c r="AH722" i="3" s="1"/>
  <c r="E722" i="3" l="1"/>
  <c r="H722" i="3" s="1"/>
  <c r="K722" i="3" s="1"/>
  <c r="AE722" i="3" s="1"/>
  <c r="D722" i="3"/>
  <c r="AG722" i="3"/>
  <c r="V722" i="3" l="1"/>
  <c r="A723" i="3"/>
  <c r="B723" i="3" s="1"/>
  <c r="F722" i="3"/>
  <c r="G722" i="3"/>
  <c r="I722" i="3" l="1"/>
  <c r="W722" i="3" s="1"/>
  <c r="J722" i="3"/>
  <c r="AD722" i="3" s="1"/>
  <c r="M722" i="3"/>
  <c r="N722" i="3" s="1"/>
  <c r="Z723" i="3"/>
  <c r="AA723" i="3"/>
  <c r="AC723" i="3"/>
  <c r="P723" i="3"/>
  <c r="Q723" i="3" s="1"/>
  <c r="R723" i="3" s="1"/>
  <c r="S723" i="3" s="1"/>
  <c r="AD723" i="3"/>
  <c r="T723" i="3" l="1"/>
  <c r="L722" i="3"/>
  <c r="U722" i="3" l="1"/>
  <c r="E723" i="3" s="1"/>
  <c r="H723" i="3" s="1"/>
  <c r="AG723" i="3"/>
  <c r="AH723" i="3"/>
  <c r="Y721" i="3"/>
  <c r="D723" i="3" l="1"/>
  <c r="G723" i="3" s="1"/>
  <c r="K723" i="3"/>
  <c r="AE723" i="3" s="1"/>
  <c r="F723" i="3" l="1"/>
  <c r="V723" i="3"/>
  <c r="A724" i="3"/>
  <c r="B724" i="3" s="1"/>
  <c r="I723" i="3"/>
  <c r="J723" i="3"/>
  <c r="M723" i="3"/>
  <c r="N723" i="3" s="1"/>
  <c r="W723" i="3" l="1"/>
  <c r="L723" i="3"/>
  <c r="AA724" i="3"/>
  <c r="Z724" i="3"/>
  <c r="AC724" i="3"/>
  <c r="P724" i="3"/>
  <c r="Q724" i="3" s="1"/>
  <c r="R724" i="3" s="1"/>
  <c r="S724" i="3" s="1"/>
  <c r="T724" i="3" l="1"/>
  <c r="AH724" i="3" s="1"/>
  <c r="U723" i="3"/>
  <c r="Y722" i="3"/>
  <c r="D724" i="3" l="1"/>
  <c r="E724" i="3"/>
  <c r="H724" i="3" s="1"/>
  <c r="AG724" i="3"/>
  <c r="K724" i="3" l="1"/>
  <c r="AE724" i="3" s="1"/>
  <c r="F724" i="3"/>
  <c r="G724" i="3"/>
  <c r="I724" i="3" l="1"/>
  <c r="J724" i="3"/>
  <c r="AD724" i="3" s="1"/>
  <c r="M724" i="3"/>
  <c r="N724" i="3" s="1"/>
  <c r="V724" i="3"/>
  <c r="A725" i="3"/>
  <c r="B725" i="3" s="1"/>
  <c r="W724" i="3" l="1"/>
  <c r="L724" i="3"/>
  <c r="AC725" i="3"/>
  <c r="P725" i="3"/>
  <c r="Q725" i="3" s="1"/>
  <c r="R725" i="3" s="1"/>
  <c r="S725" i="3" s="1"/>
  <c r="Z725" i="3"/>
  <c r="AA725" i="3"/>
  <c r="AD725" i="3"/>
  <c r="U724" i="3" l="1"/>
  <c r="Y723" i="3"/>
  <c r="T725" i="3"/>
  <c r="AG725" i="3" s="1"/>
  <c r="AH725" i="3" l="1"/>
  <c r="D725" i="3"/>
  <c r="G725" i="3" s="1"/>
  <c r="E725" i="3"/>
  <c r="H725" i="3" s="1"/>
  <c r="F725" i="3" l="1"/>
  <c r="I725" i="3"/>
  <c r="J725" i="3"/>
  <c r="M725" i="3"/>
  <c r="N725" i="3" s="1"/>
  <c r="K725" i="3"/>
  <c r="AE725" i="3" s="1"/>
  <c r="V725" i="3" l="1"/>
  <c r="W725" i="3" s="1"/>
  <c r="A726" i="3"/>
  <c r="B726" i="3" s="1"/>
  <c r="L725" i="3"/>
  <c r="U725" i="3" l="1"/>
  <c r="Y724" i="3"/>
  <c r="Z726" i="3"/>
  <c r="P726" i="3"/>
  <c r="Q726" i="3" s="1"/>
  <c r="R726" i="3" s="1"/>
  <c r="S726" i="3" s="1"/>
  <c r="AA726" i="3"/>
  <c r="AD726" i="3"/>
  <c r="AC726" i="3"/>
  <c r="T726" i="3" l="1"/>
  <c r="AG726" i="3" s="1"/>
  <c r="D726" i="3" l="1"/>
  <c r="G726" i="3" s="1"/>
  <c r="E726" i="3"/>
  <c r="H726" i="3" s="1"/>
  <c r="K726" i="3" s="1"/>
  <c r="AE726" i="3" s="1"/>
  <c r="AH726" i="3"/>
  <c r="F726" i="3" l="1"/>
  <c r="I726" i="3"/>
  <c r="J726" i="3"/>
  <c r="M726" i="3"/>
  <c r="N726" i="3" s="1"/>
  <c r="V726" i="3"/>
  <c r="A727" i="3"/>
  <c r="B727" i="3" s="1"/>
  <c r="W726" i="3" l="1"/>
  <c r="L726" i="3"/>
  <c r="P727" i="3"/>
  <c r="Q727" i="3" s="1"/>
  <c r="R727" i="3" s="1"/>
  <c r="S727" i="3" s="1"/>
  <c r="Z727" i="3"/>
  <c r="AA727" i="3"/>
  <c r="AC727" i="3"/>
  <c r="U726" i="3" l="1"/>
  <c r="Y725" i="3"/>
  <c r="T727" i="3"/>
  <c r="AH727" i="3" s="1"/>
  <c r="E727" i="3" l="1"/>
  <c r="H727" i="3" s="1"/>
  <c r="K727" i="3" s="1"/>
  <c r="AE727" i="3" s="1"/>
  <c r="D727" i="3"/>
  <c r="AG727" i="3"/>
  <c r="F727" i="3" l="1"/>
  <c r="G727" i="3"/>
  <c r="M727" i="3" s="1"/>
  <c r="N727" i="3" s="1"/>
  <c r="V727" i="3"/>
  <c r="A728" i="3"/>
  <c r="B728" i="3" s="1"/>
  <c r="I727" i="3" l="1"/>
  <c r="W727" i="3" s="1"/>
  <c r="J727" i="3"/>
  <c r="AA728" i="3"/>
  <c r="P728" i="3"/>
  <c r="Q728" i="3" s="1"/>
  <c r="R728" i="3" s="1"/>
  <c r="S728" i="3" s="1"/>
  <c r="AC728" i="3"/>
  <c r="Z728" i="3"/>
  <c r="AD728" i="3"/>
  <c r="L727" i="3" l="1"/>
  <c r="AD727" i="3"/>
  <c r="U727" i="3"/>
  <c r="Y726" i="3"/>
  <c r="T728" i="3"/>
  <c r="D728" i="3" l="1"/>
  <c r="G728" i="3" s="1"/>
  <c r="AG728" i="3"/>
  <c r="E728" i="3"/>
  <c r="H728" i="3" s="1"/>
  <c r="AH728" i="3"/>
  <c r="F728" i="3" l="1"/>
  <c r="I728" i="3"/>
  <c r="J728" i="3"/>
  <c r="M728" i="3"/>
  <c r="N728" i="3" s="1"/>
  <c r="K728" i="3"/>
  <c r="AE728" i="3" s="1"/>
  <c r="V728" i="3" l="1"/>
  <c r="W728" i="3" s="1"/>
  <c r="A729" i="3"/>
  <c r="B729" i="3" s="1"/>
  <c r="L728" i="3"/>
  <c r="U728" i="3" l="1"/>
  <c r="Y727" i="3"/>
  <c r="P729" i="3"/>
  <c r="Q729" i="3" s="1"/>
  <c r="R729" i="3" s="1"/>
  <c r="S729" i="3" s="1"/>
  <c r="AA729" i="3"/>
  <c r="AD729" i="3"/>
  <c r="AC729" i="3"/>
  <c r="Z729" i="3"/>
  <c r="T729" i="3" l="1"/>
  <c r="E729" i="3" s="1"/>
  <c r="H729" i="3" s="1"/>
  <c r="AH729" i="3" l="1"/>
  <c r="D729" i="3"/>
  <c r="F729" i="3" s="1"/>
  <c r="AG729" i="3"/>
  <c r="K729" i="3"/>
  <c r="AE729" i="3" s="1"/>
  <c r="G729" i="3" l="1"/>
  <c r="I729" i="3" s="1"/>
  <c r="V729" i="3"/>
  <c r="A730" i="3"/>
  <c r="B730" i="3" s="1"/>
  <c r="W729" i="3" l="1"/>
  <c r="J729" i="3"/>
  <c r="L729" i="3" s="1"/>
  <c r="M729" i="3"/>
  <c r="N729" i="3" s="1"/>
  <c r="AA730" i="3"/>
  <c r="Z730" i="3"/>
  <c r="AD730" i="3"/>
  <c r="P730" i="3"/>
  <c r="Q730" i="3" s="1"/>
  <c r="R730" i="3" s="1"/>
  <c r="S730" i="3" s="1"/>
  <c r="AC730" i="3"/>
  <c r="U729" i="3" l="1"/>
  <c r="Y728" i="3"/>
  <c r="T730" i="3"/>
  <c r="AG730" i="3" s="1"/>
  <c r="D730" i="3" l="1"/>
  <c r="E730" i="3"/>
  <c r="H730" i="3" s="1"/>
  <c r="AH730" i="3"/>
  <c r="K730" i="3" l="1"/>
  <c r="AE730" i="3" s="1"/>
  <c r="F730" i="3"/>
  <c r="G730" i="3"/>
  <c r="I730" i="3" l="1"/>
  <c r="J730" i="3"/>
  <c r="M730" i="3"/>
  <c r="N730" i="3" s="1"/>
  <c r="V730" i="3"/>
  <c r="A731" i="3"/>
  <c r="B731" i="3" s="1"/>
  <c r="W730" i="3" l="1"/>
  <c r="L730" i="3"/>
  <c r="P731" i="3"/>
  <c r="Q731" i="3" s="1"/>
  <c r="R731" i="3" s="1"/>
  <c r="S731" i="3" s="1"/>
  <c r="Z731" i="3"/>
  <c r="AA731" i="3"/>
  <c r="AD731" i="3"/>
  <c r="AC731" i="3"/>
  <c r="U730" i="3" l="1"/>
  <c r="Y729" i="3"/>
  <c r="T731" i="3"/>
  <c r="AG731" i="3" s="1"/>
  <c r="E731" i="3" l="1"/>
  <c r="H731" i="3" s="1"/>
  <c r="K731" i="3" s="1"/>
  <c r="AE731" i="3" s="1"/>
  <c r="AH731" i="3"/>
  <c r="D731" i="3"/>
  <c r="F731" i="3" l="1"/>
  <c r="G731" i="3"/>
  <c r="J731" i="3" s="1"/>
  <c r="V731" i="3"/>
  <c r="A732" i="3"/>
  <c r="B732" i="3" s="1"/>
  <c r="M731" i="3" l="1"/>
  <c r="N731" i="3" s="1"/>
  <c r="I731" i="3"/>
  <c r="W731" i="3" s="1"/>
  <c r="L731" i="3"/>
  <c r="AC732" i="3"/>
  <c r="Z732" i="3"/>
  <c r="AD732" i="3"/>
  <c r="AA732" i="3"/>
  <c r="P732" i="3"/>
  <c r="Q732" i="3" s="1"/>
  <c r="R732" i="3" s="1"/>
  <c r="S732" i="3" s="1"/>
  <c r="U731" i="3" l="1"/>
  <c r="Y730" i="3"/>
  <c r="T732" i="3"/>
  <c r="E732" i="3" l="1"/>
  <c r="H732" i="3" s="1"/>
  <c r="K732" i="3" s="1"/>
  <c r="AE732" i="3" s="1"/>
  <c r="D732" i="3"/>
  <c r="G732" i="3" s="1"/>
  <c r="AH732" i="3"/>
  <c r="AG732" i="3"/>
  <c r="F732" i="3" l="1"/>
  <c r="I732" i="3"/>
  <c r="J732" i="3"/>
  <c r="M732" i="3"/>
  <c r="N732" i="3" s="1"/>
  <c r="V732" i="3"/>
  <c r="A733" i="3"/>
  <c r="B733" i="3" s="1"/>
  <c r="W732" i="3" l="1"/>
  <c r="L732" i="3"/>
  <c r="AC733" i="3"/>
  <c r="P733" i="3"/>
  <c r="Q733" i="3" s="1"/>
  <c r="R733" i="3" s="1"/>
  <c r="S733" i="3" s="1"/>
  <c r="AA733" i="3"/>
  <c r="Z733" i="3"/>
  <c r="AD733" i="3"/>
  <c r="T733" i="3" l="1"/>
  <c r="AH733" i="3" s="1"/>
  <c r="U732" i="3"/>
  <c r="Y731" i="3"/>
  <c r="D733" i="3" l="1"/>
  <c r="G733" i="3" s="1"/>
  <c r="E733" i="3"/>
  <c r="H733" i="3" s="1"/>
  <c r="AG733" i="3"/>
  <c r="F733" i="3" l="1"/>
  <c r="I733" i="3"/>
  <c r="J733" i="3"/>
  <c r="M733" i="3"/>
  <c r="N733" i="3" s="1"/>
  <c r="K733" i="3"/>
  <c r="AE733" i="3" s="1"/>
  <c r="V733" i="3" l="1"/>
  <c r="W733" i="3" s="1"/>
  <c r="A734" i="3"/>
  <c r="B734" i="3" s="1"/>
  <c r="L733" i="3"/>
  <c r="U733" i="3" l="1"/>
  <c r="Y732" i="3"/>
  <c r="P734" i="3"/>
  <c r="Q734" i="3" s="1"/>
  <c r="R734" i="3" s="1"/>
  <c r="S734" i="3" s="1"/>
  <c r="AC734" i="3"/>
  <c r="AA734" i="3"/>
  <c r="Z734" i="3"/>
  <c r="T734" i="3" l="1"/>
  <c r="AG734" i="3" s="1"/>
  <c r="D734" i="3" l="1"/>
  <c r="E734" i="3"/>
  <c r="H734" i="3" s="1"/>
  <c r="K734" i="3" s="1"/>
  <c r="AE734" i="3" s="1"/>
  <c r="AH734" i="3"/>
  <c r="F734" i="3" l="1"/>
  <c r="G734" i="3"/>
  <c r="M734" i="3" s="1"/>
  <c r="N734" i="3" s="1"/>
  <c r="V734" i="3"/>
  <c r="A735" i="3"/>
  <c r="B735" i="3" s="1"/>
  <c r="I734" i="3" l="1"/>
  <c r="W734" i="3" s="1"/>
  <c r="J734" i="3"/>
  <c r="AA735" i="3"/>
  <c r="Z735" i="3"/>
  <c r="P735" i="3"/>
  <c r="Q735" i="3" s="1"/>
  <c r="R735" i="3" s="1"/>
  <c r="S735" i="3" s="1"/>
  <c r="AC735" i="3"/>
  <c r="AD735" i="3"/>
  <c r="L734" i="3" l="1"/>
  <c r="Y733" i="3" s="1"/>
  <c r="AD734" i="3"/>
  <c r="T735" i="3"/>
  <c r="U734" i="3" l="1"/>
  <c r="E735" i="3" s="1"/>
  <c r="H735" i="3" s="1"/>
  <c r="AH735" i="3"/>
  <c r="AG735" i="3"/>
  <c r="D735" i="3" l="1"/>
  <c r="G735" i="3" s="1"/>
  <c r="M735" i="3" s="1"/>
  <c r="N735" i="3" s="1"/>
  <c r="K735" i="3"/>
  <c r="AE735" i="3" s="1"/>
  <c r="F735" i="3" l="1"/>
  <c r="I735" i="3"/>
  <c r="J735" i="3"/>
  <c r="L735" i="3" s="1"/>
  <c r="V735" i="3"/>
  <c r="A736" i="3"/>
  <c r="B736" i="3" s="1"/>
  <c r="W735" i="3" l="1"/>
  <c r="U735" i="3"/>
  <c r="Y734" i="3"/>
  <c r="Z736" i="3"/>
  <c r="P736" i="3"/>
  <c r="Q736" i="3" s="1"/>
  <c r="R736" i="3" s="1"/>
  <c r="S736" i="3" s="1"/>
  <c r="AA736" i="3"/>
  <c r="AD736" i="3"/>
  <c r="AC736" i="3"/>
  <c r="T736" i="3" l="1"/>
  <c r="E736" i="3" s="1"/>
  <c r="H736" i="3" s="1"/>
  <c r="AH736" i="3" l="1"/>
  <c r="D736" i="3"/>
  <c r="F736" i="3" s="1"/>
  <c r="K736" i="3"/>
  <c r="AE736" i="3" s="1"/>
  <c r="AG736" i="3"/>
  <c r="G736" i="3" l="1"/>
  <c r="M736" i="3" s="1"/>
  <c r="N736" i="3" s="1"/>
  <c r="V736" i="3"/>
  <c r="A737" i="3"/>
  <c r="B737" i="3" s="1"/>
  <c r="I736" i="3" l="1"/>
  <c r="W736" i="3" s="1"/>
  <c r="J736" i="3"/>
  <c r="L736" i="3" s="1"/>
  <c r="AC737" i="3"/>
  <c r="P737" i="3"/>
  <c r="Q737" i="3" s="1"/>
  <c r="R737" i="3" s="1"/>
  <c r="S737" i="3" s="1"/>
  <c r="Z737" i="3"/>
  <c r="AA737" i="3"/>
  <c r="U736" i="3" l="1"/>
  <c r="Y735" i="3"/>
  <c r="T737" i="3"/>
  <c r="AH737" i="3" s="1"/>
  <c r="D737" i="3" l="1"/>
  <c r="E737" i="3"/>
  <c r="H737" i="3" s="1"/>
  <c r="AG737" i="3"/>
  <c r="F737" i="3" l="1"/>
  <c r="G737" i="3"/>
  <c r="K737" i="3"/>
  <c r="AE737" i="3" s="1"/>
  <c r="V737" i="3" l="1"/>
  <c r="A738" i="3"/>
  <c r="B738" i="3" s="1"/>
  <c r="I737" i="3"/>
  <c r="J737" i="3"/>
  <c r="AD737" i="3" s="1"/>
  <c r="M737" i="3"/>
  <c r="N737" i="3" s="1"/>
  <c r="W737" i="3" l="1"/>
  <c r="L737" i="3"/>
  <c r="AA738" i="3"/>
  <c r="P738" i="3"/>
  <c r="Q738" i="3" s="1"/>
  <c r="R738" i="3" s="1"/>
  <c r="S738" i="3" s="1"/>
  <c r="AC738" i="3"/>
  <c r="Z738" i="3"/>
  <c r="AD738" i="3"/>
  <c r="U737" i="3" l="1"/>
  <c r="Y736" i="3"/>
  <c r="T738" i="3"/>
  <c r="E738" i="3" l="1"/>
  <c r="H738" i="3" s="1"/>
  <c r="K738" i="3" s="1"/>
  <c r="AE738" i="3" s="1"/>
  <c r="D738" i="3"/>
  <c r="AG738" i="3"/>
  <c r="AH738" i="3"/>
  <c r="V738" i="3" l="1"/>
  <c r="A739" i="3"/>
  <c r="B739" i="3" s="1"/>
  <c r="F738" i="3"/>
  <c r="G738" i="3"/>
  <c r="I738" i="3" l="1"/>
  <c r="W738" i="3" s="1"/>
  <c r="J738" i="3"/>
  <c r="M738" i="3"/>
  <c r="N738" i="3" s="1"/>
  <c r="P739" i="3"/>
  <c r="Q739" i="3" s="1"/>
  <c r="R739" i="3" s="1"/>
  <c r="S739" i="3" s="1"/>
  <c r="AC739" i="3"/>
  <c r="AA739" i="3"/>
  <c r="AD739" i="3"/>
  <c r="Z739" i="3"/>
  <c r="T739" i="3" l="1"/>
  <c r="L738" i="3"/>
  <c r="AH739" i="3" l="1"/>
  <c r="U738" i="3"/>
  <c r="E739" i="3" s="1"/>
  <c r="H739" i="3" s="1"/>
  <c r="AG739" i="3"/>
  <c r="Y737" i="3"/>
  <c r="D739" i="3" l="1"/>
  <c r="G739" i="3" s="1"/>
  <c r="K739" i="3"/>
  <c r="AE739" i="3" s="1"/>
  <c r="F739" i="3" l="1"/>
  <c r="I739" i="3"/>
  <c r="J739" i="3"/>
  <c r="M739" i="3"/>
  <c r="N739" i="3" s="1"/>
  <c r="V739" i="3"/>
  <c r="A740" i="3"/>
  <c r="B740" i="3" s="1"/>
  <c r="W739" i="3" l="1"/>
  <c r="L739" i="3"/>
  <c r="P740" i="3"/>
  <c r="Q740" i="3" s="1"/>
  <c r="R740" i="3" s="1"/>
  <c r="S740" i="3" s="1"/>
  <c r="Z740" i="3"/>
  <c r="AC740" i="3"/>
  <c r="AD740" i="3"/>
  <c r="AA740" i="3"/>
  <c r="U739" i="3" l="1"/>
  <c r="Y738" i="3"/>
  <c r="T740" i="3"/>
  <c r="E740" i="3" l="1"/>
  <c r="H740" i="3" s="1"/>
  <c r="K740" i="3" s="1"/>
  <c r="AE740" i="3" s="1"/>
  <c r="D740" i="3"/>
  <c r="G740" i="3" s="1"/>
  <c r="AH740" i="3"/>
  <c r="AG740" i="3"/>
  <c r="F740" i="3" l="1"/>
  <c r="I740" i="3"/>
  <c r="J740" i="3"/>
  <c r="M740" i="3"/>
  <c r="N740" i="3" s="1"/>
  <c r="V740" i="3"/>
  <c r="A741" i="3"/>
  <c r="B741" i="3" s="1"/>
  <c r="W740" i="3" l="1"/>
  <c r="L740" i="3"/>
  <c r="AA741" i="3"/>
  <c r="P741" i="3"/>
  <c r="Q741" i="3" s="1"/>
  <c r="R741" i="3" s="1"/>
  <c r="S741" i="3" s="1"/>
  <c r="AD741" i="3"/>
  <c r="Z741" i="3"/>
  <c r="AC741" i="3"/>
  <c r="T741" i="3" l="1"/>
  <c r="AG741" i="3" s="1"/>
  <c r="U740" i="3"/>
  <c r="Y739" i="3"/>
  <c r="E741" i="3" l="1"/>
  <c r="H741" i="3" s="1"/>
  <c r="D741" i="3"/>
  <c r="AH741" i="3"/>
  <c r="K741" i="3" l="1"/>
  <c r="AE741" i="3" s="1"/>
  <c r="F741" i="3"/>
  <c r="G741" i="3"/>
  <c r="V741" i="3" l="1"/>
  <c r="A742" i="3"/>
  <c r="B742" i="3" s="1"/>
  <c r="I741" i="3"/>
  <c r="J741" i="3"/>
  <c r="M741" i="3"/>
  <c r="N741" i="3" s="1"/>
  <c r="L741" i="3" l="1"/>
  <c r="W741" i="3"/>
  <c r="AC742" i="3"/>
  <c r="P742" i="3"/>
  <c r="Q742" i="3" s="1"/>
  <c r="R742" i="3" s="1"/>
  <c r="S742" i="3" s="1"/>
  <c r="AD742" i="3"/>
  <c r="Z742" i="3"/>
  <c r="AA742" i="3"/>
  <c r="U741" i="3" l="1"/>
  <c r="Y740" i="3"/>
  <c r="T742" i="3"/>
  <c r="AG742" i="3" s="1"/>
  <c r="E742" i="3" l="1"/>
  <c r="H742" i="3" s="1"/>
  <c r="K742" i="3" s="1"/>
  <c r="AE742" i="3" s="1"/>
  <c r="AH742" i="3"/>
  <c r="D742" i="3"/>
  <c r="F742" i="3" l="1"/>
  <c r="G742" i="3"/>
  <c r="V742" i="3"/>
  <c r="A743" i="3"/>
  <c r="B743" i="3" s="1"/>
  <c r="I742" i="3" l="1"/>
  <c r="W742" i="3" s="1"/>
  <c r="J742" i="3"/>
  <c r="M742" i="3"/>
  <c r="N742" i="3" s="1"/>
  <c r="Z743" i="3"/>
  <c r="AA743" i="3"/>
  <c r="P743" i="3"/>
  <c r="Q743" i="3" s="1"/>
  <c r="R743" i="3" s="1"/>
  <c r="S743" i="3" s="1"/>
  <c r="AC743" i="3"/>
  <c r="AD743" i="3"/>
  <c r="T743" i="3" l="1"/>
  <c r="L742" i="3"/>
  <c r="U742" i="3" l="1"/>
  <c r="E743" i="3" s="1"/>
  <c r="H743" i="3" s="1"/>
  <c r="AH743" i="3"/>
  <c r="AG743" i="3"/>
  <c r="Y741" i="3"/>
  <c r="D743" i="3" l="1"/>
  <c r="G743" i="3" s="1"/>
  <c r="K743" i="3"/>
  <c r="AE743" i="3" s="1"/>
  <c r="F743" i="3" l="1"/>
  <c r="I743" i="3"/>
  <c r="J743" i="3"/>
  <c r="M743" i="3"/>
  <c r="N743" i="3" s="1"/>
  <c r="V743" i="3"/>
  <c r="A744" i="3"/>
  <c r="B744" i="3" s="1"/>
  <c r="W743" i="3" l="1"/>
  <c r="L743" i="3"/>
  <c r="AA744" i="3"/>
  <c r="P744" i="3"/>
  <c r="Q744" i="3" s="1"/>
  <c r="R744" i="3" s="1"/>
  <c r="S744" i="3" s="1"/>
  <c r="AC744" i="3"/>
  <c r="Z744" i="3"/>
  <c r="U743" i="3" l="1"/>
  <c r="Y742" i="3"/>
  <c r="T744" i="3"/>
  <c r="AG744" i="3" s="1"/>
  <c r="E744" i="3" l="1"/>
  <c r="H744" i="3" s="1"/>
  <c r="K744" i="3" s="1"/>
  <c r="AE744" i="3" s="1"/>
  <c r="D744" i="3"/>
  <c r="AH744" i="3"/>
  <c r="F744" i="3" l="1"/>
  <c r="G744" i="3"/>
  <c r="I744" i="3" s="1"/>
  <c r="V744" i="3"/>
  <c r="A745" i="3"/>
  <c r="B745" i="3" s="1"/>
  <c r="J744" i="3" l="1"/>
  <c r="M744" i="3"/>
  <c r="N744" i="3" s="1"/>
  <c r="W744" i="3"/>
  <c r="P745" i="3"/>
  <c r="Q745" i="3" s="1"/>
  <c r="R745" i="3" s="1"/>
  <c r="S745" i="3" s="1"/>
  <c r="AA745" i="3"/>
  <c r="AC745" i="3"/>
  <c r="AD745" i="3"/>
  <c r="Z745" i="3"/>
  <c r="L744" i="3" l="1"/>
  <c r="U744" i="3" s="1"/>
  <c r="AD744" i="3"/>
  <c r="T745" i="3"/>
  <c r="Y743" i="3" l="1"/>
  <c r="AG745" i="3"/>
  <c r="E745" i="3"/>
  <c r="H745" i="3" s="1"/>
  <c r="K745" i="3" s="1"/>
  <c r="AE745" i="3" s="1"/>
  <c r="D745" i="3"/>
  <c r="AH745" i="3"/>
  <c r="F745" i="3" l="1"/>
  <c r="G745" i="3"/>
  <c r="M745" i="3" s="1"/>
  <c r="N745" i="3" s="1"/>
  <c r="V745" i="3"/>
  <c r="A746" i="3"/>
  <c r="B746" i="3" s="1"/>
  <c r="I745" i="3" l="1"/>
  <c r="W745" i="3" s="1"/>
  <c r="J745" i="3"/>
  <c r="L745" i="3" s="1"/>
  <c r="Z746" i="3"/>
  <c r="AD746" i="3"/>
  <c r="P746" i="3"/>
  <c r="Q746" i="3" s="1"/>
  <c r="R746" i="3" s="1"/>
  <c r="S746" i="3" s="1"/>
  <c r="AA746" i="3"/>
  <c r="AC746" i="3"/>
  <c r="U745" i="3" l="1"/>
  <c r="Y744" i="3"/>
  <c r="T746" i="3"/>
  <c r="D746" i="3" l="1"/>
  <c r="G746" i="3" s="1"/>
  <c r="AG746" i="3"/>
  <c r="E746" i="3"/>
  <c r="H746" i="3" s="1"/>
  <c r="AH746" i="3"/>
  <c r="F746" i="3" l="1"/>
  <c r="I746" i="3"/>
  <c r="J746" i="3"/>
  <c r="M746" i="3"/>
  <c r="N746" i="3" s="1"/>
  <c r="K746" i="3"/>
  <c r="AE746" i="3" s="1"/>
  <c r="V746" i="3" l="1"/>
  <c r="W746" i="3" s="1"/>
  <c r="A747" i="3"/>
  <c r="B747" i="3" s="1"/>
  <c r="L746" i="3"/>
  <c r="U746" i="3" l="1"/>
  <c r="Y745" i="3"/>
  <c r="AA747" i="3"/>
  <c r="Z747" i="3"/>
  <c r="AC747" i="3"/>
  <c r="P747" i="3"/>
  <c r="Q747" i="3" s="1"/>
  <c r="R747" i="3" s="1"/>
  <c r="S747" i="3" s="1"/>
  <c r="T747" i="3" l="1"/>
  <c r="D747" i="3" s="1"/>
  <c r="AG747" i="3" l="1"/>
  <c r="E747" i="3"/>
  <c r="H747" i="3" s="1"/>
  <c r="K747" i="3" s="1"/>
  <c r="AE747" i="3" s="1"/>
  <c r="AH747" i="3"/>
  <c r="G747" i="3"/>
  <c r="F747" i="3" l="1"/>
  <c r="I747" i="3"/>
  <c r="J747" i="3"/>
  <c r="AD747" i="3" s="1"/>
  <c r="M747" i="3"/>
  <c r="N747" i="3" s="1"/>
  <c r="V747" i="3"/>
  <c r="A748" i="3"/>
  <c r="B748" i="3" s="1"/>
  <c r="W747" i="3" l="1"/>
  <c r="L747" i="3"/>
  <c r="AC748" i="3"/>
  <c r="P748" i="3"/>
  <c r="Q748" i="3" s="1"/>
  <c r="R748" i="3" s="1"/>
  <c r="S748" i="3" s="1"/>
  <c r="AD748" i="3"/>
  <c r="Z748" i="3"/>
  <c r="AA748" i="3"/>
  <c r="U747" i="3" l="1"/>
  <c r="Y746" i="3"/>
  <c r="T748" i="3"/>
  <c r="E748" i="3" l="1"/>
  <c r="H748" i="3" s="1"/>
  <c r="K748" i="3" s="1"/>
  <c r="AE748" i="3" s="1"/>
  <c r="D748" i="3"/>
  <c r="AH748" i="3"/>
  <c r="AG748" i="3"/>
  <c r="V748" i="3" l="1"/>
  <c r="A749" i="3"/>
  <c r="B749" i="3" s="1"/>
  <c r="F748" i="3"/>
  <c r="G748" i="3"/>
  <c r="I748" i="3" l="1"/>
  <c r="W748" i="3" s="1"/>
  <c r="J748" i="3"/>
  <c r="M748" i="3"/>
  <c r="N748" i="3" s="1"/>
  <c r="AA749" i="3"/>
  <c r="Z749" i="3"/>
  <c r="P749" i="3"/>
  <c r="Q749" i="3" s="1"/>
  <c r="R749" i="3" s="1"/>
  <c r="S749" i="3" s="1"/>
  <c r="AC749" i="3"/>
  <c r="AD749" i="3"/>
  <c r="T749" i="3" l="1"/>
  <c r="L748" i="3"/>
  <c r="U748" i="3" l="1"/>
  <c r="E749" i="3" s="1"/>
  <c r="H749" i="3" s="1"/>
  <c r="AG749" i="3"/>
  <c r="AH749" i="3"/>
  <c r="Y747" i="3"/>
  <c r="K749" i="3" l="1"/>
  <c r="AE749" i="3" s="1"/>
  <c r="D749" i="3"/>
  <c r="V749" i="3" l="1"/>
  <c r="A750" i="3"/>
  <c r="B750" i="3" s="1"/>
  <c r="F749" i="3"/>
  <c r="G749" i="3"/>
  <c r="I749" i="3" l="1"/>
  <c r="W749" i="3" s="1"/>
  <c r="J749" i="3"/>
  <c r="M749" i="3"/>
  <c r="N749" i="3" s="1"/>
  <c r="AA750" i="3"/>
  <c r="AC750" i="3"/>
  <c r="Z750" i="3"/>
  <c r="AD750" i="3"/>
  <c r="P750" i="3"/>
  <c r="Q750" i="3" s="1"/>
  <c r="R750" i="3" s="1"/>
  <c r="S750" i="3" s="1"/>
  <c r="T750" i="3" l="1"/>
  <c r="L749" i="3"/>
  <c r="AH750" i="3" l="1"/>
  <c r="AG750" i="3"/>
  <c r="U749" i="3"/>
  <c r="D750" i="3" s="1"/>
  <c r="Y748" i="3"/>
  <c r="G750" i="3" l="1"/>
  <c r="E750" i="3"/>
  <c r="H750" i="3" s="1"/>
  <c r="F750" i="3" l="1"/>
  <c r="I750" i="3"/>
  <c r="J750" i="3"/>
  <c r="M750" i="3"/>
  <c r="N750" i="3" s="1"/>
  <c r="K750" i="3"/>
  <c r="AE750" i="3" s="1"/>
  <c r="V750" i="3" l="1"/>
  <c r="W750" i="3" s="1"/>
  <c r="A751" i="3"/>
  <c r="B751" i="3" s="1"/>
  <c r="L750" i="3"/>
  <c r="U750" i="3" l="1"/>
  <c r="Y749" i="3"/>
  <c r="P751" i="3"/>
  <c r="Q751" i="3" s="1"/>
  <c r="R751" i="3" s="1"/>
  <c r="S751" i="3" s="1"/>
  <c r="Z751" i="3"/>
  <c r="AA751" i="3"/>
  <c r="AC751" i="3"/>
  <c r="AD751" i="3"/>
  <c r="T751" i="3" l="1"/>
  <c r="AH751" i="3" s="1"/>
  <c r="E751" i="3" l="1"/>
  <c r="H751" i="3" s="1"/>
  <c r="K751" i="3" s="1"/>
  <c r="AE751" i="3" s="1"/>
  <c r="AG751" i="3"/>
  <c r="D751" i="3"/>
  <c r="F751" i="3" l="1"/>
  <c r="G751" i="3"/>
  <c r="V751" i="3"/>
  <c r="A752" i="3"/>
  <c r="B752" i="3" s="1"/>
  <c r="AA752" i="3" l="1"/>
  <c r="AD752" i="3"/>
  <c r="Z752" i="3"/>
  <c r="AC752" i="3"/>
  <c r="P752" i="3"/>
  <c r="Q752" i="3" s="1"/>
  <c r="R752" i="3" s="1"/>
  <c r="S752" i="3" s="1"/>
  <c r="I751" i="3"/>
  <c r="W751" i="3" s="1"/>
  <c r="J751" i="3"/>
  <c r="M751" i="3"/>
  <c r="N751" i="3" s="1"/>
  <c r="L751" i="3" l="1"/>
  <c r="T752" i="3"/>
  <c r="U751" i="3" l="1"/>
  <c r="E752" i="3" s="1"/>
  <c r="H752" i="3" s="1"/>
  <c r="AG752" i="3"/>
  <c r="AH752" i="3"/>
  <c r="Y750" i="3"/>
  <c r="K752" i="3" l="1"/>
  <c r="AE752" i="3" s="1"/>
  <c r="D752" i="3"/>
  <c r="V752" i="3" l="1"/>
  <c r="A753" i="3"/>
  <c r="B753" i="3" s="1"/>
  <c r="F752" i="3"/>
  <c r="G752" i="3"/>
  <c r="I752" i="3" l="1"/>
  <c r="W752" i="3" s="1"/>
  <c r="J752" i="3"/>
  <c r="M752" i="3"/>
  <c r="N752" i="3" s="1"/>
  <c r="AD753" i="3"/>
  <c r="AA753" i="3"/>
  <c r="Z753" i="3"/>
  <c r="P753" i="3"/>
  <c r="Q753" i="3" s="1"/>
  <c r="R753" i="3" s="1"/>
  <c r="S753" i="3" s="1"/>
  <c r="AC753" i="3"/>
  <c r="T753" i="3" l="1"/>
  <c r="L752" i="3"/>
  <c r="AG753" i="3" l="1"/>
  <c r="U752" i="3"/>
  <c r="E753" i="3" s="1"/>
  <c r="H753" i="3" s="1"/>
  <c r="AH753" i="3"/>
  <c r="Y751" i="3"/>
  <c r="K753" i="3" l="1"/>
  <c r="AE753" i="3" s="1"/>
  <c r="D753" i="3"/>
  <c r="V753" i="3" l="1"/>
  <c r="A754" i="3"/>
  <c r="B754" i="3" s="1"/>
  <c r="F753" i="3"/>
  <c r="G753" i="3"/>
  <c r="I753" i="3" l="1"/>
  <c r="W753" i="3" s="1"/>
  <c r="J753" i="3"/>
  <c r="M753" i="3"/>
  <c r="N753" i="3" s="1"/>
  <c r="AC754" i="3"/>
  <c r="P754" i="3"/>
  <c r="Q754" i="3" s="1"/>
  <c r="R754" i="3" s="1"/>
  <c r="S754" i="3" s="1"/>
  <c r="Z754" i="3"/>
  <c r="AA754" i="3"/>
  <c r="T754" i="3" l="1"/>
  <c r="L753" i="3"/>
  <c r="AG754" i="3" l="1"/>
  <c r="AH754" i="3"/>
  <c r="U753" i="3"/>
  <c r="E754" i="3" s="1"/>
  <c r="H754" i="3" s="1"/>
  <c r="Y752" i="3"/>
  <c r="D754" i="3" l="1"/>
  <c r="G754" i="3" s="1"/>
  <c r="K754" i="3"/>
  <c r="AE754" i="3" s="1"/>
  <c r="F754" i="3" l="1"/>
  <c r="I754" i="3"/>
  <c r="J754" i="3"/>
  <c r="AD754" i="3" s="1"/>
  <c r="M754" i="3"/>
  <c r="N754" i="3" s="1"/>
  <c r="V754" i="3"/>
  <c r="A755" i="3"/>
  <c r="B755" i="3" s="1"/>
  <c r="W754" i="3" l="1"/>
  <c r="L754" i="3"/>
  <c r="AD755" i="3"/>
  <c r="AC755" i="3"/>
  <c r="AA755" i="3"/>
  <c r="P755" i="3"/>
  <c r="Q755" i="3" s="1"/>
  <c r="R755" i="3" s="1"/>
  <c r="S755" i="3" s="1"/>
  <c r="Z755" i="3"/>
  <c r="T755" i="3" l="1"/>
  <c r="U754" i="3"/>
  <c r="Y753" i="3"/>
  <c r="E755" i="3" l="1"/>
  <c r="H755" i="3" s="1"/>
  <c r="K755" i="3" s="1"/>
  <c r="AE755" i="3" s="1"/>
  <c r="AH755" i="3"/>
  <c r="AG755" i="3"/>
  <c r="D755" i="3"/>
  <c r="F755" i="3" l="1"/>
  <c r="G755" i="3"/>
  <c r="V755" i="3"/>
  <c r="A756" i="3"/>
  <c r="B756" i="3" s="1"/>
  <c r="P756" i="3" l="1"/>
  <c r="Q756" i="3" s="1"/>
  <c r="R756" i="3" s="1"/>
  <c r="S756" i="3" s="1"/>
  <c r="Z756" i="3"/>
  <c r="AA756" i="3"/>
  <c r="AC756" i="3"/>
  <c r="AD756" i="3"/>
  <c r="I755" i="3"/>
  <c r="W755" i="3" s="1"/>
  <c r="J755" i="3"/>
  <c r="M755" i="3"/>
  <c r="N755" i="3" s="1"/>
  <c r="T756" i="3" l="1"/>
  <c r="L755" i="3"/>
  <c r="AG756" i="3" l="1"/>
  <c r="U755" i="3"/>
  <c r="E756" i="3" s="1"/>
  <c r="H756" i="3" s="1"/>
  <c r="AH756" i="3"/>
  <c r="Y754" i="3"/>
  <c r="D756" i="3" l="1"/>
  <c r="F756" i="3" s="1"/>
  <c r="K756" i="3"/>
  <c r="AE756" i="3" s="1"/>
  <c r="G756" i="3" l="1"/>
  <c r="M756" i="3" s="1"/>
  <c r="N756" i="3" s="1"/>
  <c r="V756" i="3"/>
  <c r="A757" i="3"/>
  <c r="B757" i="3" s="1"/>
  <c r="I756" i="3" l="1"/>
  <c r="W756" i="3" s="1"/>
  <c r="J756" i="3"/>
  <c r="L756" i="3" s="1"/>
  <c r="AC757" i="3"/>
  <c r="P757" i="3"/>
  <c r="Q757" i="3" s="1"/>
  <c r="R757" i="3" s="1"/>
  <c r="S757" i="3" s="1"/>
  <c r="Z757" i="3"/>
  <c r="AA757" i="3"/>
  <c r="T757" i="3" l="1"/>
  <c r="U756" i="3"/>
  <c r="Y755" i="3"/>
  <c r="E757" i="3" l="1"/>
  <c r="H757" i="3" s="1"/>
  <c r="K757" i="3" s="1"/>
  <c r="AE757" i="3" s="1"/>
  <c r="AH757" i="3"/>
  <c r="D757" i="3"/>
  <c r="AG757" i="3"/>
  <c r="V757" i="3" l="1"/>
  <c r="A758" i="3"/>
  <c r="B758" i="3" s="1"/>
  <c r="F757" i="3"/>
  <c r="G757" i="3"/>
  <c r="I757" i="3" l="1"/>
  <c r="W757" i="3" s="1"/>
  <c r="J757" i="3"/>
  <c r="AD757" i="3" s="1"/>
  <c r="M757" i="3"/>
  <c r="N757" i="3" s="1"/>
  <c r="AA758" i="3"/>
  <c r="Z758" i="3"/>
  <c r="AD758" i="3"/>
  <c r="AC758" i="3"/>
  <c r="P758" i="3"/>
  <c r="Q758" i="3" s="1"/>
  <c r="R758" i="3" s="1"/>
  <c r="S758" i="3" s="1"/>
  <c r="T758" i="3" l="1"/>
  <c r="L757" i="3"/>
  <c r="AG758" i="3" l="1"/>
  <c r="U757" i="3"/>
  <c r="D758" i="3" s="1"/>
  <c r="AH758" i="3"/>
  <c r="Y756" i="3"/>
  <c r="E758" i="3" l="1"/>
  <c r="H758" i="3" s="1"/>
  <c r="K758" i="3" s="1"/>
  <c r="AE758" i="3" s="1"/>
  <c r="G758" i="3"/>
  <c r="F758" i="3" l="1"/>
  <c r="V758" i="3"/>
  <c r="A759" i="3"/>
  <c r="B759" i="3" s="1"/>
  <c r="I758" i="3"/>
  <c r="J758" i="3"/>
  <c r="M758" i="3"/>
  <c r="N758" i="3" s="1"/>
  <c r="L758" i="3" l="1"/>
  <c r="W758" i="3"/>
  <c r="AD759" i="3"/>
  <c r="P759" i="3"/>
  <c r="Q759" i="3" s="1"/>
  <c r="R759" i="3" s="1"/>
  <c r="S759" i="3" s="1"/>
  <c r="Z759" i="3"/>
  <c r="AA759" i="3"/>
  <c r="AC759" i="3"/>
  <c r="U758" i="3" l="1"/>
  <c r="Y757" i="3"/>
  <c r="T759" i="3"/>
  <c r="D759" i="3" l="1"/>
  <c r="G759" i="3" s="1"/>
  <c r="AG759" i="3"/>
  <c r="E759" i="3"/>
  <c r="H759" i="3" s="1"/>
  <c r="AH759" i="3"/>
  <c r="F759" i="3" l="1"/>
  <c r="I759" i="3"/>
  <c r="J759" i="3"/>
  <c r="M759" i="3"/>
  <c r="N759" i="3" s="1"/>
  <c r="K759" i="3"/>
  <c r="AE759" i="3" s="1"/>
  <c r="V759" i="3" l="1"/>
  <c r="W759" i="3" s="1"/>
  <c r="A760" i="3"/>
  <c r="B760" i="3" s="1"/>
  <c r="L759" i="3"/>
  <c r="U759" i="3" l="1"/>
  <c r="Y758" i="3"/>
  <c r="AA760" i="3"/>
  <c r="AC760" i="3"/>
  <c r="Z760" i="3"/>
  <c r="P760" i="3"/>
  <c r="Q760" i="3" s="1"/>
  <c r="R760" i="3" s="1"/>
  <c r="S760" i="3" s="1"/>
  <c r="AD760" i="3"/>
  <c r="T760" i="3" l="1"/>
  <c r="E760" i="3" s="1"/>
  <c r="H760" i="3" s="1"/>
  <c r="AH760" i="3" l="1"/>
  <c r="AG760" i="3"/>
  <c r="D760" i="3"/>
  <c r="G760" i="3" s="1"/>
  <c r="K760" i="3"/>
  <c r="AE760" i="3" s="1"/>
  <c r="F760" i="3" l="1"/>
  <c r="I760" i="3"/>
  <c r="J760" i="3"/>
  <c r="M760" i="3"/>
  <c r="N760" i="3" s="1"/>
  <c r="V760" i="3"/>
  <c r="A761" i="3"/>
  <c r="B761" i="3" s="1"/>
  <c r="W760" i="3" l="1"/>
  <c r="L760" i="3"/>
  <c r="P761" i="3"/>
  <c r="Q761" i="3" s="1"/>
  <c r="R761" i="3" s="1"/>
  <c r="S761" i="3" s="1"/>
  <c r="Z761" i="3"/>
  <c r="AA761" i="3"/>
  <c r="AD761" i="3"/>
  <c r="AC761" i="3"/>
  <c r="T761" i="3" l="1"/>
  <c r="U760" i="3"/>
  <c r="Y759" i="3"/>
  <c r="D761" i="3" l="1"/>
  <c r="G761" i="3" s="1"/>
  <c r="AG761" i="3"/>
  <c r="AH761" i="3"/>
  <c r="E761" i="3"/>
  <c r="H761" i="3" s="1"/>
  <c r="F761" i="3" l="1"/>
  <c r="I761" i="3"/>
  <c r="J761" i="3"/>
  <c r="M761" i="3"/>
  <c r="N761" i="3" s="1"/>
  <c r="K761" i="3"/>
  <c r="AE761" i="3" s="1"/>
  <c r="V761" i="3" l="1"/>
  <c r="W761" i="3" s="1"/>
  <c r="A762" i="3"/>
  <c r="B762" i="3" s="1"/>
  <c r="L761" i="3"/>
  <c r="U761" i="3" l="1"/>
  <c r="Y760" i="3"/>
  <c r="AA762" i="3"/>
  <c r="Z762" i="3"/>
  <c r="AC762" i="3"/>
  <c r="P762" i="3"/>
  <c r="Q762" i="3" s="1"/>
  <c r="R762" i="3" s="1"/>
  <c r="S762" i="3" s="1"/>
  <c r="AD762" i="3"/>
  <c r="T762" i="3" l="1"/>
  <c r="D762" i="3" s="1"/>
  <c r="E762" i="3" l="1"/>
  <c r="H762" i="3" s="1"/>
  <c r="K762" i="3" s="1"/>
  <c r="AE762" i="3" s="1"/>
  <c r="AH762" i="3"/>
  <c r="AG762" i="3"/>
  <c r="G762" i="3"/>
  <c r="F762" i="3" l="1"/>
  <c r="I762" i="3"/>
  <c r="J762" i="3"/>
  <c r="M762" i="3"/>
  <c r="N762" i="3" s="1"/>
  <c r="V762" i="3"/>
  <c r="A763" i="3"/>
  <c r="B763" i="3" s="1"/>
  <c r="W762" i="3" l="1"/>
  <c r="L762" i="3"/>
  <c r="AC763" i="3"/>
  <c r="Z763" i="3"/>
  <c r="AA763" i="3"/>
  <c r="P763" i="3"/>
  <c r="Q763" i="3" s="1"/>
  <c r="R763" i="3" s="1"/>
  <c r="S763" i="3" s="1"/>
  <c r="AD763" i="3"/>
  <c r="U762" i="3" l="1"/>
  <c r="Y761" i="3"/>
  <c r="T763" i="3"/>
  <c r="D763" i="3" l="1"/>
  <c r="G763" i="3" s="1"/>
  <c r="AG763" i="3"/>
  <c r="AH763" i="3"/>
  <c r="E763" i="3"/>
  <c r="H763" i="3" s="1"/>
  <c r="K763" i="3" s="1"/>
  <c r="AE763" i="3" s="1"/>
  <c r="F763" i="3" l="1"/>
  <c r="I763" i="3"/>
  <c r="J763" i="3"/>
  <c r="M763" i="3"/>
  <c r="N763" i="3" s="1"/>
  <c r="V763" i="3"/>
  <c r="A764" i="3"/>
  <c r="B764" i="3" s="1"/>
  <c r="W763" i="3" l="1"/>
  <c r="L763" i="3"/>
  <c r="Z764" i="3"/>
  <c r="P764" i="3"/>
  <c r="Q764" i="3" s="1"/>
  <c r="R764" i="3" s="1"/>
  <c r="S764" i="3" s="1"/>
  <c r="AC764" i="3"/>
  <c r="AA764" i="3"/>
  <c r="U763" i="3" l="1"/>
  <c r="Y762" i="3"/>
  <c r="T764" i="3"/>
  <c r="E764" i="3" l="1"/>
  <c r="H764" i="3" s="1"/>
  <c r="K764" i="3" s="1"/>
  <c r="AE764" i="3" s="1"/>
  <c r="AG764" i="3"/>
  <c r="D764" i="3"/>
  <c r="AH764" i="3"/>
  <c r="F764" i="3" l="1"/>
  <c r="G764" i="3"/>
  <c r="V764" i="3"/>
  <c r="A765" i="3"/>
  <c r="B765" i="3" s="1"/>
  <c r="P765" i="3" l="1"/>
  <c r="Q765" i="3" s="1"/>
  <c r="R765" i="3" s="1"/>
  <c r="S765" i="3" s="1"/>
  <c r="Z765" i="3"/>
  <c r="AA765" i="3"/>
  <c r="AC765" i="3"/>
  <c r="AD765" i="3"/>
  <c r="I764" i="3"/>
  <c r="W764" i="3" s="1"/>
  <c r="J764" i="3"/>
  <c r="AD764" i="3" s="1"/>
  <c r="M764" i="3"/>
  <c r="N764" i="3" s="1"/>
  <c r="T765" i="3" l="1"/>
  <c r="L764" i="3"/>
  <c r="AG765" i="3" l="1"/>
  <c r="AH765" i="3"/>
  <c r="U764" i="3"/>
  <c r="D765" i="3" s="1"/>
  <c r="Y763" i="3"/>
  <c r="E765" i="3" l="1"/>
  <c r="H765" i="3" s="1"/>
  <c r="K765" i="3" s="1"/>
  <c r="AE765" i="3" s="1"/>
  <c r="G765" i="3"/>
  <c r="F765" i="3" l="1"/>
  <c r="I765" i="3"/>
  <c r="J765" i="3"/>
  <c r="M765" i="3"/>
  <c r="N765" i="3" s="1"/>
  <c r="V765" i="3"/>
  <c r="A766" i="3"/>
  <c r="B766" i="3" s="1"/>
  <c r="W765" i="3" l="1"/>
  <c r="L765" i="3"/>
  <c r="AD766" i="3"/>
  <c r="P766" i="3"/>
  <c r="Q766" i="3" s="1"/>
  <c r="R766" i="3" s="1"/>
  <c r="S766" i="3" s="1"/>
  <c r="AA766" i="3"/>
  <c r="Z766" i="3"/>
  <c r="AC766" i="3"/>
  <c r="U765" i="3" l="1"/>
  <c r="Y764" i="3"/>
  <c r="T766" i="3"/>
  <c r="E766" i="3" l="1"/>
  <c r="H766" i="3" s="1"/>
  <c r="K766" i="3" s="1"/>
  <c r="AE766" i="3" s="1"/>
  <c r="D766" i="3"/>
  <c r="AG766" i="3"/>
  <c r="AH766" i="3"/>
  <c r="V766" i="3" l="1"/>
  <c r="A767" i="3"/>
  <c r="B767" i="3" s="1"/>
  <c r="F766" i="3"/>
  <c r="G766" i="3"/>
  <c r="I766" i="3" l="1"/>
  <c r="W766" i="3" s="1"/>
  <c r="J766" i="3"/>
  <c r="M766" i="3"/>
  <c r="N766" i="3" s="1"/>
  <c r="P767" i="3"/>
  <c r="Q767" i="3" s="1"/>
  <c r="R767" i="3" s="1"/>
  <c r="S767" i="3" s="1"/>
  <c r="AC767" i="3"/>
  <c r="AA767" i="3"/>
  <c r="Z767" i="3"/>
  <c r="T767" i="3" l="1"/>
  <c r="L766" i="3"/>
  <c r="AH767" i="3" l="1"/>
  <c r="AG767" i="3"/>
  <c r="U766" i="3"/>
  <c r="D767" i="3" s="1"/>
  <c r="Y765" i="3"/>
  <c r="E767" i="3" l="1"/>
  <c r="H767" i="3" s="1"/>
  <c r="K767" i="3" s="1"/>
  <c r="AE767" i="3" s="1"/>
  <c r="G767" i="3"/>
  <c r="F767" i="3" l="1"/>
  <c r="I767" i="3"/>
  <c r="J767" i="3"/>
  <c r="AD767" i="3" s="1"/>
  <c r="M767" i="3"/>
  <c r="N767" i="3" s="1"/>
  <c r="V767" i="3"/>
  <c r="A768" i="3"/>
  <c r="B768" i="3" s="1"/>
  <c r="W767" i="3" l="1"/>
  <c r="L767" i="3"/>
  <c r="AC768" i="3"/>
  <c r="AA768" i="3"/>
  <c r="AD768" i="3"/>
  <c r="P768" i="3"/>
  <c r="Q768" i="3" s="1"/>
  <c r="R768" i="3" s="1"/>
  <c r="S768" i="3" s="1"/>
  <c r="Z768" i="3"/>
  <c r="T768" i="3" l="1"/>
  <c r="AG768" i="3" s="1"/>
  <c r="U767" i="3"/>
  <c r="Y766" i="3"/>
  <c r="D768" i="3" l="1"/>
  <c r="G768" i="3" s="1"/>
  <c r="AH768" i="3"/>
  <c r="E768" i="3"/>
  <c r="H768" i="3" s="1"/>
  <c r="K768" i="3" l="1"/>
  <c r="AE768" i="3" s="1"/>
  <c r="I768" i="3"/>
  <c r="J768" i="3"/>
  <c r="M768" i="3"/>
  <c r="N768" i="3" s="1"/>
  <c r="F768" i="3"/>
  <c r="L768" i="3" l="1"/>
  <c r="V768" i="3"/>
  <c r="W768" i="3" s="1"/>
  <c r="A769" i="3"/>
  <c r="B769" i="3" s="1"/>
  <c r="AD769" i="3" l="1"/>
  <c r="AC769" i="3"/>
  <c r="Z769" i="3"/>
  <c r="P769" i="3"/>
  <c r="Q769" i="3" s="1"/>
  <c r="R769" i="3" s="1"/>
  <c r="S769" i="3" s="1"/>
  <c r="AA769" i="3"/>
  <c r="U768" i="3"/>
  <c r="Y767" i="3"/>
  <c r="T769" i="3" l="1"/>
  <c r="AG769" i="3" l="1"/>
  <c r="D769" i="3"/>
  <c r="AH769" i="3"/>
  <c r="E769" i="3"/>
  <c r="H769" i="3" s="1"/>
  <c r="F769" i="3" l="1"/>
  <c r="G769" i="3"/>
  <c r="K769" i="3"/>
  <c r="AE769" i="3" s="1"/>
  <c r="V769" i="3" l="1"/>
  <c r="A770" i="3"/>
  <c r="B770" i="3" s="1"/>
  <c r="I769" i="3"/>
  <c r="J769" i="3"/>
  <c r="M769" i="3"/>
  <c r="N769" i="3" s="1"/>
  <c r="W769" i="3" l="1"/>
  <c r="L769" i="3"/>
  <c r="AC770" i="3"/>
  <c r="P770" i="3"/>
  <c r="Q770" i="3" s="1"/>
  <c r="R770" i="3" s="1"/>
  <c r="S770" i="3" s="1"/>
  <c r="AD770" i="3"/>
  <c r="Z770" i="3"/>
  <c r="AA770" i="3"/>
  <c r="U769" i="3" l="1"/>
  <c r="Y768" i="3"/>
  <c r="T770" i="3"/>
  <c r="AG770" i="3" s="1"/>
  <c r="E770" i="3" l="1"/>
  <c r="H770" i="3" s="1"/>
  <c r="K770" i="3" s="1"/>
  <c r="AE770" i="3" s="1"/>
  <c r="D770" i="3"/>
  <c r="AH770" i="3"/>
  <c r="F770" i="3" l="1"/>
  <c r="G770" i="3"/>
  <c r="M770" i="3" s="1"/>
  <c r="N770" i="3" s="1"/>
  <c r="V770" i="3"/>
  <c r="A771" i="3"/>
  <c r="B771" i="3" s="1"/>
  <c r="I770" i="3" l="1"/>
  <c r="W770" i="3" s="1"/>
  <c r="J770" i="3"/>
  <c r="L770" i="3" s="1"/>
  <c r="AA771" i="3"/>
  <c r="AC771" i="3"/>
  <c r="P771" i="3"/>
  <c r="Q771" i="3" s="1"/>
  <c r="R771" i="3" s="1"/>
  <c r="S771" i="3" s="1"/>
  <c r="Z771" i="3"/>
  <c r="AD771" i="3"/>
  <c r="U770" i="3" l="1"/>
  <c r="Y769" i="3"/>
  <c r="T771" i="3"/>
  <c r="AH771" i="3" s="1"/>
  <c r="E771" i="3" l="1"/>
  <c r="H771" i="3" s="1"/>
  <c r="AG771" i="3"/>
  <c r="D771" i="3"/>
  <c r="K771" i="3" l="1"/>
  <c r="AE771" i="3" s="1"/>
  <c r="F771" i="3"/>
  <c r="G771" i="3"/>
  <c r="V771" i="3" l="1"/>
  <c r="A772" i="3"/>
  <c r="B772" i="3" s="1"/>
  <c r="I771" i="3"/>
  <c r="J771" i="3"/>
  <c r="M771" i="3"/>
  <c r="N771" i="3" s="1"/>
  <c r="L771" i="3" l="1"/>
  <c r="W771" i="3"/>
  <c r="AD772" i="3"/>
  <c r="AA772" i="3"/>
  <c r="Z772" i="3"/>
  <c r="AC772" i="3"/>
  <c r="P772" i="3"/>
  <c r="Q772" i="3" s="1"/>
  <c r="R772" i="3" s="1"/>
  <c r="S772" i="3" s="1"/>
  <c r="U771" i="3" l="1"/>
  <c r="Y770" i="3"/>
  <c r="T772" i="3"/>
  <c r="E772" i="3" l="1"/>
  <c r="H772" i="3" s="1"/>
  <c r="K772" i="3" s="1"/>
  <c r="AE772" i="3" s="1"/>
  <c r="D772" i="3"/>
  <c r="G772" i="3" s="1"/>
  <c r="AG772" i="3"/>
  <c r="AH772" i="3"/>
  <c r="F772" i="3" l="1"/>
  <c r="V772" i="3"/>
  <c r="A773" i="3"/>
  <c r="B773" i="3" s="1"/>
  <c r="I772" i="3"/>
  <c r="J772" i="3"/>
  <c r="M772" i="3"/>
  <c r="N772" i="3" s="1"/>
  <c r="W772" i="3" l="1"/>
  <c r="L772" i="3"/>
  <c r="AA773" i="3"/>
  <c r="P773" i="3"/>
  <c r="Q773" i="3" s="1"/>
  <c r="R773" i="3" s="1"/>
  <c r="S773" i="3" s="1"/>
  <c r="Z773" i="3"/>
  <c r="AD773" i="3"/>
  <c r="AC773" i="3"/>
  <c r="U772" i="3" l="1"/>
  <c r="Y771" i="3"/>
  <c r="T773" i="3"/>
  <c r="AG773" i="3" s="1"/>
  <c r="D773" i="3" l="1"/>
  <c r="E773" i="3"/>
  <c r="H773" i="3" s="1"/>
  <c r="K773" i="3" s="1"/>
  <c r="AE773" i="3" s="1"/>
  <c r="AH773" i="3"/>
  <c r="F773" i="3" l="1"/>
  <c r="G773" i="3"/>
  <c r="M773" i="3" s="1"/>
  <c r="N773" i="3" s="1"/>
  <c r="V773" i="3"/>
  <c r="A774" i="3"/>
  <c r="B774" i="3" s="1"/>
  <c r="I773" i="3" l="1"/>
  <c r="W773" i="3" s="1"/>
  <c r="J773" i="3"/>
  <c r="L773" i="3" s="1"/>
  <c r="AC774" i="3"/>
  <c r="P774" i="3"/>
  <c r="Q774" i="3" s="1"/>
  <c r="R774" i="3" s="1"/>
  <c r="S774" i="3" s="1"/>
  <c r="AA774" i="3"/>
  <c r="Z774" i="3"/>
  <c r="U773" i="3" l="1"/>
  <c r="Y772" i="3"/>
  <c r="T774" i="3"/>
  <c r="AG774" i="3" s="1"/>
  <c r="E774" i="3" l="1"/>
  <c r="H774" i="3" s="1"/>
  <c r="K774" i="3" s="1"/>
  <c r="AE774" i="3" s="1"/>
  <c r="AH774" i="3"/>
  <c r="D774" i="3"/>
  <c r="F774" i="3" l="1"/>
  <c r="G774" i="3"/>
  <c r="M774" i="3" s="1"/>
  <c r="N774" i="3" s="1"/>
  <c r="V774" i="3"/>
  <c r="A775" i="3"/>
  <c r="B775" i="3" s="1"/>
  <c r="I774" i="3" l="1"/>
  <c r="W774" i="3" s="1"/>
  <c r="J774" i="3"/>
  <c r="P775" i="3"/>
  <c r="Q775" i="3" s="1"/>
  <c r="R775" i="3" s="1"/>
  <c r="S775" i="3" s="1"/>
  <c r="Z775" i="3"/>
  <c r="AD775" i="3"/>
  <c r="AA775" i="3"/>
  <c r="AC775" i="3"/>
  <c r="L774" i="3" l="1"/>
  <c r="Y773" i="3" s="1"/>
  <c r="AD774" i="3"/>
  <c r="T775" i="3"/>
  <c r="U774" i="3" l="1"/>
  <c r="D775" i="3" s="1"/>
  <c r="AG775" i="3"/>
  <c r="AH775" i="3"/>
  <c r="E775" i="3" l="1"/>
  <c r="H775" i="3" s="1"/>
  <c r="K775" i="3" s="1"/>
  <c r="AE775" i="3" s="1"/>
  <c r="G775" i="3"/>
  <c r="M775" i="3" l="1"/>
  <c r="N775" i="3" s="1"/>
  <c r="A776" i="3"/>
  <c r="B776" i="3" s="1"/>
  <c r="AD776" i="3" s="1"/>
  <c r="V775" i="3"/>
  <c r="F775" i="3"/>
  <c r="I775" i="3"/>
  <c r="J775" i="3"/>
  <c r="L775" i="3" s="1"/>
  <c r="W775" i="3" l="1"/>
  <c r="P776" i="3"/>
  <c r="Q776" i="3" s="1"/>
  <c r="R776" i="3" s="1"/>
  <c r="S776" i="3" s="1"/>
  <c r="T776" i="3" s="1"/>
  <c r="AA776" i="3"/>
  <c r="AC776" i="3"/>
  <c r="Z776" i="3"/>
  <c r="U775" i="3"/>
  <c r="Y774" i="3"/>
  <c r="AG776" i="3" l="1"/>
  <c r="AH776" i="3"/>
  <c r="E776" i="3"/>
  <c r="H776" i="3" s="1"/>
  <c r="K776" i="3" s="1"/>
  <c r="AE776" i="3" s="1"/>
  <c r="D776" i="3"/>
  <c r="G776" i="3" s="1"/>
  <c r="F776" i="3" l="1"/>
  <c r="I776" i="3"/>
  <c r="J776" i="3"/>
  <c r="M776" i="3"/>
  <c r="N776" i="3" s="1"/>
  <c r="V776" i="3"/>
  <c r="A777" i="3"/>
  <c r="B777" i="3" s="1"/>
  <c r="W776" i="3" l="1"/>
  <c r="L776" i="3"/>
  <c r="Z777" i="3"/>
  <c r="AA777" i="3"/>
  <c r="P777" i="3"/>
  <c r="Q777" i="3" s="1"/>
  <c r="R777" i="3" s="1"/>
  <c r="S777" i="3" s="1"/>
  <c r="AC777" i="3"/>
  <c r="U776" i="3" l="1"/>
  <c r="Y775" i="3"/>
  <c r="T777" i="3"/>
  <c r="AH777" i="3" s="1"/>
  <c r="E777" i="3" l="1"/>
  <c r="H777" i="3" s="1"/>
  <c r="D777" i="3"/>
  <c r="AG777" i="3"/>
  <c r="K777" i="3" l="1"/>
  <c r="AE777" i="3" s="1"/>
  <c r="F777" i="3"/>
  <c r="G777" i="3"/>
  <c r="I777" i="3" l="1"/>
  <c r="J777" i="3"/>
  <c r="AD777" i="3" s="1"/>
  <c r="M777" i="3"/>
  <c r="N777" i="3" s="1"/>
  <c r="V777" i="3"/>
  <c r="A778" i="3"/>
  <c r="B778" i="3" s="1"/>
  <c r="L777" i="3" l="1"/>
  <c r="W777" i="3"/>
  <c r="P778" i="3"/>
  <c r="Q778" i="3" s="1"/>
  <c r="R778" i="3" s="1"/>
  <c r="S778" i="3" s="1"/>
  <c r="Z778" i="3"/>
  <c r="AD778" i="3"/>
  <c r="AA778" i="3"/>
  <c r="AC778" i="3"/>
  <c r="U777" i="3" l="1"/>
  <c r="Y776" i="3"/>
  <c r="T778" i="3"/>
  <c r="AH778" i="3" s="1"/>
  <c r="E778" i="3" l="1"/>
  <c r="H778" i="3" s="1"/>
  <c r="K778" i="3" s="1"/>
  <c r="AE778" i="3" s="1"/>
  <c r="AG778" i="3"/>
  <c r="D778" i="3"/>
  <c r="G778" i="3" s="1"/>
  <c r="F778" i="3" l="1"/>
  <c r="I778" i="3"/>
  <c r="J778" i="3"/>
  <c r="M778" i="3"/>
  <c r="N778" i="3" s="1"/>
  <c r="V778" i="3"/>
  <c r="A779" i="3"/>
  <c r="B779" i="3" s="1"/>
  <c r="W778" i="3" l="1"/>
  <c r="L778" i="3"/>
  <c r="P779" i="3"/>
  <c r="Q779" i="3" s="1"/>
  <c r="R779" i="3" s="1"/>
  <c r="S779" i="3" s="1"/>
  <c r="AA779" i="3"/>
  <c r="AC779" i="3"/>
  <c r="AD779" i="3"/>
  <c r="Z779" i="3"/>
  <c r="U778" i="3" l="1"/>
  <c r="Y777" i="3"/>
  <c r="T779" i="3"/>
  <c r="E779" i="3" l="1"/>
  <c r="H779" i="3" s="1"/>
  <c r="K779" i="3" s="1"/>
  <c r="AE779" i="3" s="1"/>
  <c r="AG779" i="3"/>
  <c r="AH779" i="3"/>
  <c r="D779" i="3"/>
  <c r="G779" i="3" s="1"/>
  <c r="F779" i="3" l="1"/>
  <c r="I779" i="3"/>
  <c r="J779" i="3"/>
  <c r="M779" i="3"/>
  <c r="N779" i="3" s="1"/>
  <c r="V779" i="3"/>
  <c r="A780" i="3"/>
  <c r="B780" i="3" s="1"/>
  <c r="W779" i="3" l="1"/>
  <c r="L779" i="3"/>
  <c r="P780" i="3"/>
  <c r="Q780" i="3" s="1"/>
  <c r="R780" i="3" s="1"/>
  <c r="S780" i="3" s="1"/>
  <c r="AD780" i="3"/>
  <c r="AA780" i="3"/>
  <c r="Z780" i="3"/>
  <c r="AC780" i="3"/>
  <c r="U779" i="3" l="1"/>
  <c r="Y778" i="3"/>
  <c r="T780" i="3"/>
  <c r="D780" i="3" l="1"/>
  <c r="G780" i="3" s="1"/>
  <c r="AH780" i="3"/>
  <c r="E780" i="3"/>
  <c r="H780" i="3" s="1"/>
  <c r="K780" i="3" s="1"/>
  <c r="AE780" i="3" s="1"/>
  <c r="AG780" i="3"/>
  <c r="F780" i="3" l="1"/>
  <c r="I780" i="3"/>
  <c r="J780" i="3"/>
  <c r="M780" i="3"/>
  <c r="N780" i="3" s="1"/>
  <c r="V780" i="3"/>
  <c r="A781" i="3"/>
  <c r="B781" i="3" s="1"/>
  <c r="W780" i="3" l="1"/>
  <c r="L780" i="3"/>
  <c r="P781" i="3"/>
  <c r="Q781" i="3" s="1"/>
  <c r="R781" i="3" s="1"/>
  <c r="S781" i="3" s="1"/>
  <c r="AD781" i="3"/>
  <c r="Z781" i="3"/>
  <c r="AA781" i="3"/>
  <c r="AC781" i="3"/>
  <c r="T781" i="3" l="1"/>
  <c r="U780" i="3"/>
  <c r="Y779" i="3"/>
  <c r="E781" i="3" l="1"/>
  <c r="H781" i="3" s="1"/>
  <c r="K781" i="3" s="1"/>
  <c r="AE781" i="3" s="1"/>
  <c r="AG781" i="3"/>
  <c r="AH781" i="3"/>
  <c r="D781" i="3"/>
  <c r="F781" i="3" l="1"/>
  <c r="G781" i="3"/>
  <c r="V781" i="3"/>
  <c r="A782" i="3"/>
  <c r="B782" i="3" s="1"/>
  <c r="P782" i="3" l="1"/>
  <c r="Q782" i="3" s="1"/>
  <c r="R782" i="3" s="1"/>
  <c r="S782" i="3" s="1"/>
  <c r="AC782" i="3"/>
  <c r="AD782" i="3"/>
  <c r="AA782" i="3"/>
  <c r="Z782" i="3"/>
  <c r="I781" i="3"/>
  <c r="W781" i="3" s="1"/>
  <c r="J781" i="3"/>
  <c r="M781" i="3"/>
  <c r="N781" i="3" s="1"/>
  <c r="T782" i="3" l="1"/>
  <c r="L781" i="3"/>
  <c r="U781" i="3" l="1"/>
  <c r="D782" i="3" s="1"/>
  <c r="AH782" i="3"/>
  <c r="AG782" i="3"/>
  <c r="Y780" i="3"/>
  <c r="E782" i="3" l="1"/>
  <c r="H782" i="3" s="1"/>
  <c r="K782" i="3" s="1"/>
  <c r="AE782" i="3" s="1"/>
  <c r="G782" i="3"/>
  <c r="F782" i="3" l="1"/>
  <c r="I782" i="3"/>
  <c r="J782" i="3"/>
  <c r="M782" i="3"/>
  <c r="N782" i="3" s="1"/>
  <c r="V782" i="3"/>
  <c r="A783" i="3"/>
  <c r="B783" i="3" s="1"/>
  <c r="W782" i="3" l="1"/>
  <c r="L782" i="3"/>
  <c r="AA783" i="3"/>
  <c r="Z783" i="3"/>
  <c r="P783" i="3"/>
  <c r="Q783" i="3" s="1"/>
  <c r="R783" i="3" s="1"/>
  <c r="S783" i="3" s="1"/>
  <c r="AD783" i="3"/>
  <c r="AC783" i="3"/>
  <c r="U782" i="3" l="1"/>
  <c r="Y781" i="3"/>
  <c r="T783" i="3"/>
  <c r="AH783" i="3" s="1"/>
  <c r="AG783" i="3" l="1"/>
  <c r="D783" i="3"/>
  <c r="G783" i="3" s="1"/>
  <c r="E783" i="3"/>
  <c r="H783" i="3" s="1"/>
  <c r="K783" i="3" s="1"/>
  <c r="AE783" i="3" s="1"/>
  <c r="F783" i="3" l="1"/>
  <c r="I783" i="3"/>
  <c r="J783" i="3"/>
  <c r="M783" i="3"/>
  <c r="N783" i="3" s="1"/>
  <c r="V783" i="3"/>
  <c r="A784" i="3"/>
  <c r="B784" i="3" s="1"/>
  <c r="W783" i="3" l="1"/>
  <c r="L783" i="3"/>
  <c r="AC784" i="3"/>
  <c r="Z784" i="3"/>
  <c r="P784" i="3"/>
  <c r="Q784" i="3" s="1"/>
  <c r="R784" i="3" s="1"/>
  <c r="S784" i="3" s="1"/>
  <c r="AA784" i="3"/>
  <c r="T784" i="3" l="1"/>
  <c r="AG784" i="3" s="1"/>
  <c r="U783" i="3"/>
  <c r="Y782" i="3"/>
  <c r="E784" i="3" l="1"/>
  <c r="H784" i="3" s="1"/>
  <c r="AH784" i="3"/>
  <c r="D784" i="3"/>
  <c r="K784" i="3" l="1"/>
  <c r="AE784" i="3" s="1"/>
  <c r="F784" i="3"/>
  <c r="G784" i="3"/>
  <c r="V784" i="3" l="1"/>
  <c r="A785" i="3"/>
  <c r="B785" i="3" s="1"/>
  <c r="I784" i="3"/>
  <c r="J784" i="3"/>
  <c r="AD784" i="3" s="1"/>
  <c r="M784" i="3"/>
  <c r="N784" i="3" s="1"/>
  <c r="W784" i="3" l="1"/>
  <c r="L784" i="3"/>
  <c r="AA785" i="3"/>
  <c r="AD785" i="3"/>
  <c r="P785" i="3"/>
  <c r="Q785" i="3" s="1"/>
  <c r="R785" i="3" s="1"/>
  <c r="S785" i="3" s="1"/>
  <c r="AC785" i="3"/>
  <c r="Z785" i="3"/>
  <c r="U784" i="3" l="1"/>
  <c r="Y783" i="3"/>
  <c r="T785" i="3"/>
  <c r="AH785" i="3" s="1"/>
  <c r="E785" i="3" l="1"/>
  <c r="H785" i="3" s="1"/>
  <c r="AG785" i="3"/>
  <c r="D785" i="3"/>
  <c r="K785" i="3" l="1"/>
  <c r="AE785" i="3" s="1"/>
  <c r="F785" i="3"/>
  <c r="G785" i="3"/>
  <c r="I785" i="3" l="1"/>
  <c r="J785" i="3"/>
  <c r="M785" i="3"/>
  <c r="N785" i="3" s="1"/>
  <c r="V785" i="3"/>
  <c r="A786" i="3"/>
  <c r="B786" i="3" s="1"/>
  <c r="W785" i="3" l="1"/>
  <c r="L785" i="3"/>
  <c r="Z786" i="3"/>
  <c r="AD786" i="3"/>
  <c r="AA786" i="3"/>
  <c r="P786" i="3"/>
  <c r="Q786" i="3" s="1"/>
  <c r="R786" i="3" s="1"/>
  <c r="S786" i="3" s="1"/>
  <c r="AC786" i="3"/>
  <c r="U785" i="3" l="1"/>
  <c r="Y784" i="3"/>
  <c r="T786" i="3"/>
  <c r="E786" i="3" l="1"/>
  <c r="H786" i="3" s="1"/>
  <c r="K786" i="3" s="1"/>
  <c r="AE786" i="3" s="1"/>
  <c r="AG786" i="3"/>
  <c r="D786" i="3"/>
  <c r="G786" i="3" s="1"/>
  <c r="AH786" i="3"/>
  <c r="F786" i="3" l="1"/>
  <c r="I786" i="3"/>
  <c r="J786" i="3"/>
  <c r="M786" i="3"/>
  <c r="N786" i="3" s="1"/>
  <c r="V786" i="3"/>
  <c r="A787" i="3"/>
  <c r="B787" i="3" s="1"/>
  <c r="L786" i="3" l="1"/>
  <c r="W786" i="3"/>
  <c r="AC787" i="3"/>
  <c r="P787" i="3"/>
  <c r="Q787" i="3" s="1"/>
  <c r="R787" i="3" s="1"/>
  <c r="S787" i="3" s="1"/>
  <c r="Z787" i="3"/>
  <c r="AA787" i="3"/>
  <c r="U786" i="3" l="1"/>
  <c r="Y785" i="3"/>
  <c r="T787" i="3"/>
  <c r="D787" i="3" l="1"/>
  <c r="G787" i="3" s="1"/>
  <c r="AH787" i="3"/>
  <c r="E787" i="3"/>
  <c r="H787" i="3" s="1"/>
  <c r="AG787" i="3"/>
  <c r="F787" i="3" l="1"/>
  <c r="I787" i="3"/>
  <c r="J787" i="3"/>
  <c r="AD787" i="3" s="1"/>
  <c r="M787" i="3"/>
  <c r="N787" i="3" s="1"/>
  <c r="K787" i="3"/>
  <c r="AE787" i="3" s="1"/>
  <c r="V787" i="3" l="1"/>
  <c r="W787" i="3" s="1"/>
  <c r="A788" i="3"/>
  <c r="B788" i="3" s="1"/>
  <c r="L787" i="3"/>
  <c r="U787" i="3" l="1"/>
  <c r="Y786" i="3"/>
  <c r="AC788" i="3"/>
  <c r="Z788" i="3"/>
  <c r="AD788" i="3"/>
  <c r="AA788" i="3"/>
  <c r="P788" i="3"/>
  <c r="Q788" i="3" s="1"/>
  <c r="R788" i="3" s="1"/>
  <c r="S788" i="3" s="1"/>
  <c r="T788" i="3" l="1"/>
  <c r="E788" i="3" s="1"/>
  <c r="H788" i="3" s="1"/>
  <c r="D788" i="3" l="1"/>
  <c r="F788" i="3" s="1"/>
  <c r="AG788" i="3"/>
  <c r="AH788" i="3"/>
  <c r="K788" i="3"/>
  <c r="AE788" i="3" s="1"/>
  <c r="G788" i="3" l="1"/>
  <c r="I788" i="3" s="1"/>
  <c r="V788" i="3"/>
  <c r="A789" i="3"/>
  <c r="B789" i="3" s="1"/>
  <c r="M788" i="3" l="1"/>
  <c r="N788" i="3" s="1"/>
  <c r="J788" i="3"/>
  <c r="L788" i="3" s="1"/>
  <c r="W788" i="3"/>
  <c r="P789" i="3"/>
  <c r="Q789" i="3" s="1"/>
  <c r="R789" i="3" s="1"/>
  <c r="S789" i="3" s="1"/>
  <c r="AC789" i="3"/>
  <c r="AD789" i="3"/>
  <c r="AA789" i="3"/>
  <c r="Z789" i="3"/>
  <c r="U788" i="3" l="1"/>
  <c r="Y787" i="3"/>
  <c r="T789" i="3"/>
  <c r="D789" i="3" l="1"/>
  <c r="G789" i="3" s="1"/>
  <c r="E789" i="3"/>
  <c r="H789" i="3" s="1"/>
  <c r="AH789" i="3"/>
  <c r="AG789" i="3"/>
  <c r="F789" i="3" l="1"/>
  <c r="I789" i="3"/>
  <c r="J789" i="3"/>
  <c r="M789" i="3"/>
  <c r="N789" i="3" s="1"/>
  <c r="K789" i="3"/>
  <c r="AE789" i="3" s="1"/>
  <c r="L789" i="3" l="1"/>
  <c r="V789" i="3"/>
  <c r="W789" i="3" s="1"/>
  <c r="A790" i="3"/>
  <c r="B790" i="3" s="1"/>
  <c r="AA790" i="3" l="1"/>
  <c r="AC790" i="3"/>
  <c r="Z790" i="3"/>
  <c r="AD790" i="3"/>
  <c r="P790" i="3"/>
  <c r="Q790" i="3" s="1"/>
  <c r="R790" i="3" s="1"/>
  <c r="S790" i="3" s="1"/>
  <c r="U789" i="3"/>
  <c r="Y788" i="3"/>
  <c r="T790" i="3" l="1"/>
  <c r="D790" i="3" s="1"/>
  <c r="AG790" i="3" l="1"/>
  <c r="G790" i="3"/>
  <c r="AH790" i="3"/>
  <c r="E790" i="3"/>
  <c r="H790" i="3" s="1"/>
  <c r="F790" i="3" l="1"/>
  <c r="I790" i="3"/>
  <c r="J790" i="3"/>
  <c r="M790" i="3"/>
  <c r="N790" i="3" s="1"/>
  <c r="K790" i="3"/>
  <c r="AE790" i="3" s="1"/>
  <c r="V790" i="3" l="1"/>
  <c r="W790" i="3" s="1"/>
  <c r="A791" i="3"/>
  <c r="B791" i="3" s="1"/>
  <c r="L790" i="3"/>
  <c r="U790" i="3" l="1"/>
  <c r="Y789" i="3"/>
  <c r="AD791" i="3"/>
  <c r="P791" i="3"/>
  <c r="Q791" i="3" s="1"/>
  <c r="R791" i="3" s="1"/>
  <c r="S791" i="3" s="1"/>
  <c r="AA791" i="3"/>
  <c r="AC791" i="3"/>
  <c r="Z791" i="3"/>
  <c r="T791" i="3" l="1"/>
  <c r="AG791" i="3" s="1"/>
  <c r="E791" i="3" l="1"/>
  <c r="H791" i="3" s="1"/>
  <c r="K791" i="3" s="1"/>
  <c r="AE791" i="3" s="1"/>
  <c r="D791" i="3"/>
  <c r="G791" i="3" s="1"/>
  <c r="AH791" i="3"/>
  <c r="F791" i="3" l="1"/>
  <c r="I791" i="3"/>
  <c r="J791" i="3"/>
  <c r="M791" i="3"/>
  <c r="N791" i="3" s="1"/>
  <c r="V791" i="3"/>
  <c r="A792" i="3"/>
  <c r="B792" i="3" s="1"/>
  <c r="W791" i="3" l="1"/>
  <c r="L791" i="3"/>
  <c r="P792" i="3"/>
  <c r="Q792" i="3" s="1"/>
  <c r="R792" i="3" s="1"/>
  <c r="S792" i="3" s="1"/>
  <c r="AC792" i="3"/>
  <c r="AD792" i="3"/>
  <c r="Z792" i="3"/>
  <c r="AA792" i="3"/>
  <c r="U791" i="3" l="1"/>
  <c r="Y790" i="3"/>
  <c r="T792" i="3"/>
  <c r="AG792" i="3" s="1"/>
  <c r="AH792" i="3" l="1"/>
  <c r="D792" i="3"/>
  <c r="E792" i="3"/>
  <c r="H792" i="3" s="1"/>
  <c r="F792" i="3" l="1"/>
  <c r="G792" i="3"/>
  <c r="K792" i="3"/>
  <c r="AE792" i="3" s="1"/>
  <c r="I792" i="3" l="1"/>
  <c r="J792" i="3"/>
  <c r="M792" i="3"/>
  <c r="N792" i="3" s="1"/>
  <c r="V792" i="3"/>
  <c r="A793" i="3"/>
  <c r="B793" i="3" s="1"/>
  <c r="L792" i="3" l="1"/>
  <c r="W792" i="3"/>
  <c r="AD793" i="3"/>
  <c r="AC793" i="3"/>
  <c r="Z793" i="3"/>
  <c r="P793" i="3"/>
  <c r="Q793" i="3" s="1"/>
  <c r="R793" i="3" s="1"/>
  <c r="S793" i="3" s="1"/>
  <c r="AA793" i="3"/>
  <c r="T793" i="3" l="1"/>
  <c r="U792" i="3"/>
  <c r="Y791" i="3"/>
  <c r="E793" i="3" l="1"/>
  <c r="H793" i="3" s="1"/>
  <c r="K793" i="3" s="1"/>
  <c r="AE793" i="3" s="1"/>
  <c r="D793" i="3"/>
  <c r="AG793" i="3"/>
  <c r="AH793" i="3"/>
  <c r="F793" i="3" l="1"/>
  <c r="G793" i="3"/>
  <c r="M793" i="3" s="1"/>
  <c r="N793" i="3" s="1"/>
  <c r="V793" i="3"/>
  <c r="A794" i="3"/>
  <c r="B794" i="3" s="1"/>
  <c r="I793" i="3" l="1"/>
  <c r="W793" i="3" s="1"/>
  <c r="J793" i="3"/>
  <c r="L793" i="3" s="1"/>
  <c r="Z794" i="3"/>
  <c r="AC794" i="3"/>
  <c r="P794" i="3"/>
  <c r="Q794" i="3" s="1"/>
  <c r="R794" i="3" s="1"/>
  <c r="S794" i="3" s="1"/>
  <c r="AA794" i="3"/>
  <c r="T794" i="3" l="1"/>
  <c r="AH794" i="3" s="1"/>
  <c r="U793" i="3"/>
  <c r="Y792" i="3"/>
  <c r="AG794" i="3" l="1"/>
  <c r="D794" i="3"/>
  <c r="E794" i="3"/>
  <c r="H794" i="3" s="1"/>
  <c r="F794" i="3" l="1"/>
  <c r="G794" i="3"/>
  <c r="K794" i="3"/>
  <c r="AE794" i="3" s="1"/>
  <c r="I794" i="3" l="1"/>
  <c r="J794" i="3"/>
  <c r="AD794" i="3" s="1"/>
  <c r="M794" i="3"/>
  <c r="N794" i="3" s="1"/>
  <c r="V794" i="3"/>
  <c r="A795" i="3"/>
  <c r="B795" i="3" s="1"/>
  <c r="L794" i="3" l="1"/>
  <c r="W794" i="3"/>
  <c r="P795" i="3"/>
  <c r="Q795" i="3" s="1"/>
  <c r="R795" i="3" s="1"/>
  <c r="S795" i="3" s="1"/>
  <c r="Z795" i="3"/>
  <c r="AA795" i="3"/>
  <c r="AC795" i="3"/>
  <c r="T795" i="3" l="1"/>
  <c r="U794" i="3"/>
  <c r="Y793" i="3"/>
  <c r="D795" i="3" l="1"/>
  <c r="G795" i="3" s="1"/>
  <c r="E795" i="3"/>
  <c r="H795" i="3" s="1"/>
  <c r="K795" i="3" s="1"/>
  <c r="AE795" i="3" s="1"/>
  <c r="AH795" i="3"/>
  <c r="AG795" i="3"/>
  <c r="F795" i="3" l="1"/>
  <c r="I795" i="3"/>
  <c r="J795" i="3"/>
  <c r="AD795" i="3" s="1"/>
  <c r="M795" i="3"/>
  <c r="N795" i="3" s="1"/>
  <c r="V795" i="3"/>
  <c r="A796" i="3"/>
  <c r="B796" i="3" s="1"/>
  <c r="W795" i="3" l="1"/>
  <c r="L795" i="3"/>
  <c r="Z796" i="3"/>
  <c r="AA796" i="3"/>
  <c r="AC796" i="3"/>
  <c r="P796" i="3"/>
  <c r="Q796" i="3" s="1"/>
  <c r="R796" i="3" s="1"/>
  <c r="S796" i="3" s="1"/>
  <c r="T796" i="3" l="1"/>
  <c r="U795" i="3"/>
  <c r="Y794" i="3"/>
  <c r="E796" i="3" l="1"/>
  <c r="H796" i="3" s="1"/>
  <c r="K796" i="3" s="1"/>
  <c r="AE796" i="3" s="1"/>
  <c r="AH796" i="3"/>
  <c r="AG796" i="3"/>
  <c r="D796" i="3"/>
  <c r="F796" i="3" l="1"/>
  <c r="G796" i="3"/>
  <c r="V796" i="3"/>
  <c r="A797" i="3"/>
  <c r="B797" i="3" s="1"/>
  <c r="I796" i="3" l="1"/>
  <c r="W796" i="3" s="1"/>
  <c r="J796" i="3"/>
  <c r="AD796" i="3" s="1"/>
  <c r="M796" i="3"/>
  <c r="N796" i="3" s="1"/>
  <c r="P797" i="3"/>
  <c r="Q797" i="3" s="1"/>
  <c r="R797" i="3" s="1"/>
  <c r="S797" i="3" s="1"/>
  <c r="AA797" i="3"/>
  <c r="AC797" i="3"/>
  <c r="Z797" i="3"/>
  <c r="T797" i="3" l="1"/>
  <c r="L796" i="3"/>
  <c r="AH797" i="3" l="1"/>
  <c r="AG797" i="3"/>
  <c r="U796" i="3"/>
  <c r="E797" i="3" s="1"/>
  <c r="H797" i="3" s="1"/>
  <c r="Y795" i="3"/>
  <c r="D797" i="3" l="1"/>
  <c r="G797" i="3" s="1"/>
  <c r="K797" i="3"/>
  <c r="AE797" i="3" s="1"/>
  <c r="F797" i="3" l="1"/>
  <c r="I797" i="3"/>
  <c r="J797" i="3"/>
  <c r="AD797" i="3" s="1"/>
  <c r="M797" i="3"/>
  <c r="N797" i="3" s="1"/>
  <c r="V797" i="3"/>
  <c r="A798" i="3"/>
  <c r="B798" i="3" s="1"/>
  <c r="W797" i="3" l="1"/>
  <c r="L797" i="3"/>
  <c r="Z798" i="3"/>
  <c r="AA798" i="3"/>
  <c r="P798" i="3"/>
  <c r="Q798" i="3" s="1"/>
  <c r="R798" i="3" s="1"/>
  <c r="S798" i="3" s="1"/>
  <c r="AC798" i="3"/>
  <c r="T798" i="3" l="1"/>
  <c r="U797" i="3"/>
  <c r="Y796" i="3"/>
  <c r="E798" i="3" l="1"/>
  <c r="H798" i="3" s="1"/>
  <c r="K798" i="3" s="1"/>
  <c r="AE798" i="3" s="1"/>
  <c r="D798" i="3"/>
  <c r="G798" i="3" s="1"/>
  <c r="AH798" i="3"/>
  <c r="AG798" i="3"/>
  <c r="F798" i="3" l="1"/>
  <c r="I798" i="3"/>
  <c r="J798" i="3"/>
  <c r="AD798" i="3" s="1"/>
  <c r="M798" i="3"/>
  <c r="N798" i="3" s="1"/>
  <c r="V798" i="3"/>
  <c r="A799" i="3"/>
  <c r="B799" i="3" s="1"/>
  <c r="W798" i="3" l="1"/>
  <c r="L798" i="3"/>
  <c r="Z799" i="3"/>
  <c r="P799" i="3"/>
  <c r="Q799" i="3" s="1"/>
  <c r="R799" i="3" s="1"/>
  <c r="S799" i="3" s="1"/>
  <c r="AC799" i="3"/>
  <c r="AA799" i="3"/>
  <c r="T799" i="3" l="1"/>
  <c r="AH799" i="3" s="1"/>
  <c r="U798" i="3"/>
  <c r="Y797" i="3"/>
  <c r="AG799" i="3" l="1"/>
  <c r="E799" i="3"/>
  <c r="H799" i="3" s="1"/>
  <c r="D799" i="3"/>
  <c r="K799" i="3" l="1"/>
  <c r="AE799" i="3" s="1"/>
  <c r="F799" i="3"/>
  <c r="G799" i="3"/>
  <c r="V799" i="3" l="1"/>
  <c r="A800" i="3"/>
  <c r="B800" i="3" s="1"/>
  <c r="I799" i="3"/>
  <c r="J799" i="3"/>
  <c r="AD799" i="3" s="1"/>
  <c r="M799" i="3"/>
  <c r="N799" i="3" s="1"/>
  <c r="W799" i="3" l="1"/>
  <c r="L799" i="3"/>
  <c r="AC800" i="3"/>
  <c r="AA800" i="3"/>
  <c r="P800" i="3"/>
  <c r="Q800" i="3" s="1"/>
  <c r="R800" i="3" s="1"/>
  <c r="S800" i="3" s="1"/>
  <c r="Z800" i="3"/>
  <c r="U799" i="3" l="1"/>
  <c r="Y798" i="3"/>
  <c r="T800" i="3"/>
  <c r="E800" i="3" l="1"/>
  <c r="H800" i="3" s="1"/>
  <c r="K800" i="3" s="1"/>
  <c r="AE800" i="3" s="1"/>
  <c r="D800" i="3"/>
  <c r="AG800" i="3"/>
  <c r="AH800" i="3"/>
  <c r="V800" i="3" l="1"/>
  <c r="A801" i="3"/>
  <c r="B801" i="3" s="1"/>
  <c r="F800" i="3"/>
  <c r="G800" i="3"/>
  <c r="I800" i="3" l="1"/>
  <c r="W800" i="3" s="1"/>
  <c r="J800" i="3"/>
  <c r="AD800" i="3" s="1"/>
  <c r="M800" i="3"/>
  <c r="N800" i="3" s="1"/>
  <c r="AA801" i="3"/>
  <c r="Z801" i="3"/>
  <c r="P801" i="3"/>
  <c r="Q801" i="3" s="1"/>
  <c r="R801" i="3" s="1"/>
  <c r="S801" i="3" s="1"/>
  <c r="AC801" i="3"/>
  <c r="L800" i="3" l="1"/>
  <c r="T801" i="3"/>
  <c r="AG801" i="3" l="1"/>
  <c r="AH801" i="3"/>
  <c r="U800" i="3"/>
  <c r="E801" i="3" s="1"/>
  <c r="H801" i="3" s="1"/>
  <c r="Y799" i="3"/>
  <c r="D801" i="3" l="1"/>
  <c r="G801" i="3" s="1"/>
  <c r="K801" i="3"/>
  <c r="AE801" i="3" s="1"/>
  <c r="F801" i="3" l="1"/>
  <c r="I801" i="3"/>
  <c r="J801" i="3"/>
  <c r="AD801" i="3" s="1"/>
  <c r="M801" i="3"/>
  <c r="N801" i="3" s="1"/>
  <c r="V801" i="3"/>
  <c r="A802" i="3"/>
  <c r="B802" i="3" s="1"/>
  <c r="W801" i="3" l="1"/>
  <c r="L801" i="3"/>
  <c r="Z802" i="3"/>
  <c r="P802" i="3"/>
  <c r="Q802" i="3" s="1"/>
  <c r="R802" i="3" s="1"/>
  <c r="S802" i="3" s="1"/>
  <c r="AA802" i="3"/>
  <c r="AC802" i="3"/>
  <c r="U801" i="3" l="1"/>
  <c r="Y800" i="3"/>
  <c r="T802" i="3"/>
  <c r="AG802" i="3" s="1"/>
  <c r="E802" i="3" l="1"/>
  <c r="H802" i="3" s="1"/>
  <c r="D802" i="3"/>
  <c r="AH802" i="3"/>
  <c r="K802" i="3" l="1"/>
  <c r="AE802" i="3" s="1"/>
  <c r="F802" i="3"/>
  <c r="G802" i="3"/>
  <c r="I802" i="3" l="1"/>
  <c r="J802" i="3"/>
  <c r="AD802" i="3" s="1"/>
  <c r="M802" i="3"/>
  <c r="N802" i="3" s="1"/>
  <c r="V802" i="3"/>
  <c r="A803" i="3"/>
  <c r="B803" i="3" s="1"/>
  <c r="L802" i="3" l="1"/>
  <c r="W802" i="3"/>
  <c r="Z803" i="3"/>
  <c r="AA803" i="3"/>
  <c r="AC803" i="3"/>
  <c r="P803" i="3"/>
  <c r="Q803" i="3" s="1"/>
  <c r="R803" i="3" s="1"/>
  <c r="S803" i="3" s="1"/>
  <c r="U802" i="3" l="1"/>
  <c r="Y801" i="3"/>
  <c r="T803" i="3"/>
  <c r="AG803" i="3" s="1"/>
  <c r="AH803" i="3" l="1"/>
  <c r="D803" i="3"/>
  <c r="E803" i="3"/>
  <c r="H803" i="3" s="1"/>
  <c r="F803" i="3" l="1"/>
  <c r="G803" i="3"/>
  <c r="K803" i="3"/>
  <c r="AE803" i="3" s="1"/>
  <c r="V803" i="3" l="1"/>
  <c r="A804" i="3"/>
  <c r="B804" i="3" s="1"/>
  <c r="I803" i="3"/>
  <c r="J803" i="3"/>
  <c r="AD803" i="3" s="1"/>
  <c r="M803" i="3"/>
  <c r="N803" i="3" s="1"/>
  <c r="L803" i="3" l="1"/>
  <c r="W803" i="3"/>
  <c r="AC804" i="3"/>
  <c r="P804" i="3"/>
  <c r="Q804" i="3" s="1"/>
  <c r="R804" i="3" s="1"/>
  <c r="S804" i="3" s="1"/>
  <c r="AA804" i="3"/>
  <c r="Z804" i="3"/>
  <c r="U803" i="3" l="1"/>
  <c r="Y802" i="3"/>
  <c r="T804" i="3"/>
  <c r="AH804" i="3" s="1"/>
  <c r="D804" i="3" l="1"/>
  <c r="G804" i="3" s="1"/>
  <c r="AG804" i="3"/>
  <c r="E804" i="3"/>
  <c r="H804" i="3" s="1"/>
  <c r="K804" i="3" s="1"/>
  <c r="AE804" i="3" s="1"/>
  <c r="F804" i="3" l="1"/>
  <c r="I804" i="3"/>
  <c r="J804" i="3"/>
  <c r="AD804" i="3" s="1"/>
  <c r="M804" i="3"/>
  <c r="N804" i="3" s="1"/>
  <c r="V804" i="3"/>
  <c r="A805" i="3"/>
  <c r="B805" i="3" s="1"/>
  <c r="W804" i="3" l="1"/>
  <c r="L804" i="3"/>
  <c r="Z805" i="3"/>
  <c r="P805" i="3"/>
  <c r="Q805" i="3" s="1"/>
  <c r="R805" i="3" s="1"/>
  <c r="S805" i="3" s="1"/>
  <c r="AC805" i="3"/>
  <c r="AA805" i="3"/>
  <c r="T805" i="3" l="1"/>
  <c r="AH805" i="3" s="1"/>
  <c r="U804" i="3"/>
  <c r="Y803" i="3"/>
  <c r="E805" i="3" l="1"/>
  <c r="H805" i="3" s="1"/>
  <c r="AG805" i="3"/>
  <c r="D805" i="3"/>
  <c r="K805" i="3" l="1"/>
  <c r="AE805" i="3" s="1"/>
  <c r="F805" i="3"/>
  <c r="G805" i="3"/>
  <c r="I805" i="3" l="1"/>
  <c r="J805" i="3"/>
  <c r="AD805" i="3" s="1"/>
  <c r="M805" i="3"/>
  <c r="N805" i="3" s="1"/>
  <c r="V805" i="3"/>
  <c r="A806" i="3"/>
  <c r="B806" i="3" s="1"/>
  <c r="W805" i="3" l="1"/>
  <c r="L805" i="3"/>
  <c r="Z806" i="3"/>
  <c r="AA806" i="3"/>
  <c r="P806" i="3"/>
  <c r="Q806" i="3" s="1"/>
  <c r="R806" i="3" s="1"/>
  <c r="S806" i="3" s="1"/>
  <c r="AC806" i="3"/>
  <c r="T806" i="3" l="1"/>
  <c r="U805" i="3"/>
  <c r="Y804" i="3"/>
  <c r="D806" i="3" l="1"/>
  <c r="G806" i="3" s="1"/>
  <c r="AH806" i="3"/>
  <c r="AG806" i="3"/>
  <c r="E806" i="3"/>
  <c r="H806" i="3" s="1"/>
  <c r="K806" i="3" l="1"/>
  <c r="AE806" i="3" s="1"/>
  <c r="I806" i="3"/>
  <c r="J806" i="3"/>
  <c r="AD806" i="3" s="1"/>
  <c r="M806" i="3"/>
  <c r="N806" i="3" s="1"/>
  <c r="F806" i="3"/>
  <c r="L806" i="3" l="1"/>
  <c r="V806" i="3"/>
  <c r="W806" i="3" s="1"/>
  <c r="A807" i="3"/>
  <c r="B807" i="3" s="1"/>
  <c r="AC807" i="3" l="1"/>
  <c r="P807" i="3"/>
  <c r="Q807" i="3" s="1"/>
  <c r="R807" i="3" s="1"/>
  <c r="S807" i="3" s="1"/>
  <c r="AA807" i="3"/>
  <c r="Z807" i="3"/>
  <c r="U806" i="3"/>
  <c r="Y805" i="3"/>
  <c r="T807" i="3" l="1"/>
  <c r="AH807" i="3" l="1"/>
  <c r="AG807" i="3"/>
  <c r="E807" i="3"/>
  <c r="H807" i="3" s="1"/>
  <c r="D807" i="3"/>
  <c r="K807" i="3" l="1"/>
  <c r="AE807" i="3" s="1"/>
  <c r="F807" i="3"/>
  <c r="G807" i="3"/>
  <c r="I807" i="3" l="1"/>
  <c r="J807" i="3"/>
  <c r="AD807" i="3" s="1"/>
  <c r="M807" i="3"/>
  <c r="N807" i="3" s="1"/>
  <c r="V807" i="3"/>
  <c r="A808" i="3"/>
  <c r="B808" i="3" s="1"/>
  <c r="W807" i="3" l="1"/>
  <c r="L807" i="3"/>
  <c r="P808" i="3"/>
  <c r="Q808" i="3" s="1"/>
  <c r="R808" i="3" s="1"/>
  <c r="S808" i="3" s="1"/>
  <c r="AA808" i="3"/>
  <c r="Z808" i="3"/>
  <c r="AC808" i="3"/>
  <c r="U807" i="3" l="1"/>
  <c r="Y806" i="3"/>
  <c r="T808" i="3"/>
  <c r="AH808" i="3" s="1"/>
  <c r="D808" i="3" l="1"/>
  <c r="G808" i="3" s="1"/>
  <c r="E808" i="3"/>
  <c r="H808" i="3" s="1"/>
  <c r="K808" i="3" s="1"/>
  <c r="AE808" i="3" s="1"/>
  <c r="AG808" i="3"/>
  <c r="F808" i="3" l="1"/>
  <c r="I808" i="3"/>
  <c r="J808" i="3"/>
  <c r="AD808" i="3" s="1"/>
  <c r="M808" i="3"/>
  <c r="N808" i="3" s="1"/>
  <c r="V808" i="3"/>
  <c r="A809" i="3"/>
  <c r="B809" i="3" s="1"/>
  <c r="W808" i="3" l="1"/>
  <c r="AC809" i="3"/>
  <c r="Z809" i="3"/>
  <c r="AA809" i="3"/>
  <c r="P809" i="3"/>
  <c r="Q809" i="3" s="1"/>
  <c r="R809" i="3" s="1"/>
  <c r="S809" i="3" s="1"/>
  <c r="L808" i="3"/>
  <c r="T809" i="3" l="1"/>
  <c r="U808" i="3"/>
  <c r="Y807" i="3"/>
  <c r="E809" i="3" l="1"/>
  <c r="H809" i="3" s="1"/>
  <c r="K809" i="3" s="1"/>
  <c r="AE809" i="3" s="1"/>
  <c r="AG809" i="3"/>
  <c r="D809" i="3"/>
  <c r="AH809" i="3"/>
  <c r="V809" i="3" l="1"/>
  <c r="A810" i="3"/>
  <c r="B810" i="3" s="1"/>
  <c r="F809" i="3"/>
  <c r="G809" i="3"/>
  <c r="I809" i="3" l="1"/>
  <c r="W809" i="3" s="1"/>
  <c r="J809" i="3"/>
  <c r="AD809" i="3" s="1"/>
  <c r="M809" i="3"/>
  <c r="N809" i="3" s="1"/>
  <c r="P810" i="3"/>
  <c r="Q810" i="3" s="1"/>
  <c r="R810" i="3" s="1"/>
  <c r="S810" i="3" s="1"/>
  <c r="AA810" i="3"/>
  <c r="AC810" i="3"/>
  <c r="Z810" i="3"/>
  <c r="T810" i="3" l="1"/>
  <c r="L809" i="3"/>
  <c r="AH810" i="3" l="1"/>
  <c r="AG810" i="3"/>
  <c r="U809" i="3"/>
  <c r="E810" i="3" s="1"/>
  <c r="H810" i="3" s="1"/>
  <c r="Y808" i="3"/>
  <c r="D810" i="3" l="1"/>
  <c r="G810" i="3" s="1"/>
  <c r="K810" i="3"/>
  <c r="AE810" i="3" s="1"/>
  <c r="F810" i="3" l="1"/>
  <c r="I810" i="3"/>
  <c r="J810" i="3"/>
  <c r="AD810" i="3" s="1"/>
  <c r="M810" i="3"/>
  <c r="N810" i="3" s="1"/>
  <c r="V810" i="3"/>
  <c r="A811" i="3"/>
  <c r="B811" i="3" s="1"/>
  <c r="L810" i="3" l="1"/>
  <c r="W810" i="3"/>
  <c r="AA811" i="3"/>
  <c r="P811" i="3"/>
  <c r="Q811" i="3" s="1"/>
  <c r="R811" i="3" s="1"/>
  <c r="S811" i="3" s="1"/>
  <c r="Z811" i="3"/>
  <c r="AC811" i="3"/>
  <c r="U810" i="3" l="1"/>
  <c r="Y809" i="3"/>
  <c r="T811" i="3"/>
  <c r="E811" i="3" l="1"/>
  <c r="H811" i="3" s="1"/>
  <c r="K811" i="3" s="1"/>
  <c r="AE811" i="3" s="1"/>
  <c r="AH811" i="3"/>
  <c r="AG811" i="3"/>
  <c r="D811" i="3"/>
  <c r="V811" i="3" l="1"/>
  <c r="A812" i="3"/>
  <c r="B812" i="3" s="1"/>
  <c r="F811" i="3"/>
  <c r="G811" i="3"/>
  <c r="I811" i="3" l="1"/>
  <c r="W811" i="3" s="1"/>
  <c r="J811" i="3"/>
  <c r="AD811" i="3" s="1"/>
  <c r="M811" i="3"/>
  <c r="N811" i="3" s="1"/>
  <c r="Z812" i="3"/>
  <c r="AA812" i="3"/>
  <c r="P812" i="3"/>
  <c r="Q812" i="3" s="1"/>
  <c r="R812" i="3" s="1"/>
  <c r="S812" i="3" s="1"/>
  <c r="AC812" i="3"/>
  <c r="T812" i="3" l="1"/>
  <c r="L811" i="3"/>
  <c r="AG812" i="3" l="1"/>
  <c r="U811" i="3"/>
  <c r="D812" i="3" s="1"/>
  <c r="AH812" i="3"/>
  <c r="Y810" i="3"/>
  <c r="G812" i="3" l="1"/>
  <c r="E812" i="3"/>
  <c r="H812" i="3" s="1"/>
  <c r="I812" i="3" l="1"/>
  <c r="J812" i="3"/>
  <c r="AD812" i="3" s="1"/>
  <c r="M812" i="3"/>
  <c r="N812" i="3" s="1"/>
  <c r="F812" i="3"/>
  <c r="K812" i="3"/>
  <c r="AE812" i="3" s="1"/>
  <c r="L812" i="3" l="1"/>
  <c r="V812" i="3"/>
  <c r="W812" i="3" s="1"/>
  <c r="A813" i="3"/>
  <c r="B813" i="3" s="1"/>
  <c r="U812" i="3" l="1"/>
  <c r="Y811" i="3"/>
  <c r="AA813" i="3"/>
  <c r="P813" i="3"/>
  <c r="Q813" i="3" s="1"/>
  <c r="R813" i="3" s="1"/>
  <c r="S813" i="3" s="1"/>
  <c r="Z813" i="3"/>
  <c r="AC813" i="3"/>
  <c r="T813" i="3" l="1"/>
  <c r="AG813" i="3" s="1"/>
  <c r="AH813" i="3" l="1"/>
  <c r="D813" i="3"/>
  <c r="E813" i="3"/>
  <c r="H813" i="3" s="1"/>
  <c r="F813" i="3" l="1"/>
  <c r="G813" i="3"/>
  <c r="K813" i="3"/>
  <c r="AE813" i="3" s="1"/>
  <c r="I813" i="3" l="1"/>
  <c r="J813" i="3"/>
  <c r="AD813" i="3" s="1"/>
  <c r="M813" i="3"/>
  <c r="N813" i="3" s="1"/>
  <c r="V813" i="3"/>
  <c r="A814" i="3"/>
  <c r="B814" i="3" s="1"/>
  <c r="W813" i="3" l="1"/>
  <c r="L813" i="3"/>
  <c r="P814" i="3"/>
  <c r="Q814" i="3" s="1"/>
  <c r="R814" i="3" s="1"/>
  <c r="S814" i="3" s="1"/>
  <c r="AA814" i="3"/>
  <c r="Z814" i="3"/>
  <c r="AC814" i="3"/>
  <c r="U813" i="3" l="1"/>
  <c r="Y812" i="3"/>
  <c r="T814" i="3"/>
  <c r="D814" i="3" l="1"/>
  <c r="G814" i="3" s="1"/>
  <c r="E814" i="3"/>
  <c r="H814" i="3" s="1"/>
  <c r="K814" i="3" s="1"/>
  <c r="AE814" i="3" s="1"/>
  <c r="AH814" i="3"/>
  <c r="AG814" i="3"/>
  <c r="F814" i="3" l="1"/>
  <c r="I814" i="3"/>
  <c r="J814" i="3"/>
  <c r="AD814" i="3" s="1"/>
  <c r="M814" i="3"/>
  <c r="N814" i="3" s="1"/>
  <c r="V814" i="3"/>
  <c r="A815" i="3"/>
  <c r="B815" i="3" s="1"/>
  <c r="W814" i="3" l="1"/>
  <c r="L814" i="3"/>
  <c r="AA815" i="3"/>
  <c r="AC815" i="3"/>
  <c r="Z815" i="3"/>
  <c r="P815" i="3"/>
  <c r="Q815" i="3" s="1"/>
  <c r="R815" i="3" s="1"/>
  <c r="S815" i="3" s="1"/>
  <c r="T815" i="3" l="1"/>
  <c r="AH815" i="3" s="1"/>
  <c r="U814" i="3"/>
  <c r="Y813" i="3"/>
  <c r="AG815" i="3" l="1"/>
  <c r="E815" i="3"/>
  <c r="H815" i="3" s="1"/>
  <c r="D815" i="3"/>
  <c r="K815" i="3" l="1"/>
  <c r="AE815" i="3" s="1"/>
  <c r="F815" i="3"/>
  <c r="G815" i="3"/>
  <c r="V815" i="3" l="1"/>
  <c r="A816" i="3"/>
  <c r="B816" i="3" s="1"/>
  <c r="I815" i="3"/>
  <c r="J815" i="3"/>
  <c r="AD815" i="3" s="1"/>
  <c r="M815" i="3"/>
  <c r="N815" i="3" s="1"/>
  <c r="W815" i="3" l="1"/>
  <c r="L815" i="3"/>
  <c r="P816" i="3"/>
  <c r="Q816" i="3" s="1"/>
  <c r="R816" i="3" s="1"/>
  <c r="S816" i="3" s="1"/>
  <c r="AC816" i="3"/>
  <c r="AA816" i="3"/>
  <c r="Z816" i="3"/>
  <c r="T816" i="3" l="1"/>
  <c r="U815" i="3"/>
  <c r="Y814" i="3"/>
  <c r="E816" i="3" l="1"/>
  <c r="H816" i="3" s="1"/>
  <c r="K816" i="3" s="1"/>
  <c r="AE816" i="3" s="1"/>
  <c r="D816" i="3"/>
  <c r="G816" i="3" s="1"/>
  <c r="AG816" i="3"/>
  <c r="AH816" i="3"/>
  <c r="F816" i="3" l="1"/>
  <c r="I816" i="3"/>
  <c r="J816" i="3"/>
  <c r="AD816" i="3" s="1"/>
  <c r="M816" i="3"/>
  <c r="N816" i="3" s="1"/>
  <c r="V816" i="3"/>
  <c r="A817" i="3"/>
  <c r="B817" i="3" s="1"/>
  <c r="W816" i="3" l="1"/>
  <c r="L816" i="3"/>
  <c r="P817" i="3"/>
  <c r="Q817" i="3" s="1"/>
  <c r="R817" i="3" s="1"/>
  <c r="S817" i="3" s="1"/>
  <c r="Z817" i="3"/>
  <c r="AA817" i="3"/>
  <c r="AC817" i="3"/>
  <c r="U816" i="3" l="1"/>
  <c r="Y815" i="3"/>
  <c r="T817" i="3"/>
  <c r="AG817" i="3" s="1"/>
  <c r="E817" i="3" l="1"/>
  <c r="H817" i="3" s="1"/>
  <c r="AH817" i="3"/>
  <c r="D817" i="3"/>
  <c r="F817" i="3" l="1"/>
  <c r="G817" i="3"/>
  <c r="K817" i="3"/>
  <c r="AE817" i="3" s="1"/>
  <c r="V817" i="3" l="1"/>
  <c r="A818" i="3"/>
  <c r="B818" i="3" s="1"/>
  <c r="I817" i="3"/>
  <c r="J817" i="3"/>
  <c r="AD817" i="3" s="1"/>
  <c r="M817" i="3"/>
  <c r="N817" i="3" s="1"/>
  <c r="W817" i="3" l="1"/>
  <c r="L817" i="3"/>
  <c r="Z818" i="3"/>
  <c r="AA818" i="3"/>
  <c r="P818" i="3"/>
  <c r="Q818" i="3" s="1"/>
  <c r="R818" i="3" s="1"/>
  <c r="S818" i="3" s="1"/>
  <c r="AC818" i="3"/>
  <c r="T818" i="3" l="1"/>
  <c r="U817" i="3"/>
  <c r="Y816" i="3"/>
  <c r="E818" i="3" l="1"/>
  <c r="H818" i="3" s="1"/>
  <c r="K818" i="3" s="1"/>
  <c r="AE818" i="3" s="1"/>
  <c r="D818" i="3"/>
  <c r="G818" i="3" s="1"/>
  <c r="AH818" i="3"/>
  <c r="AG818" i="3"/>
  <c r="F818" i="3" l="1"/>
  <c r="V818" i="3"/>
  <c r="A819" i="3"/>
  <c r="B819" i="3" s="1"/>
  <c r="I818" i="3"/>
  <c r="J818" i="3"/>
  <c r="AD818" i="3" s="1"/>
  <c r="M818" i="3"/>
  <c r="N818" i="3" s="1"/>
  <c r="W818" i="3" l="1"/>
  <c r="L818" i="3"/>
  <c r="AC819" i="3"/>
  <c r="AA819" i="3"/>
  <c r="Z819" i="3"/>
  <c r="P819" i="3"/>
  <c r="Q819" i="3" s="1"/>
  <c r="R819" i="3" s="1"/>
  <c r="S819" i="3" s="1"/>
  <c r="T819" i="3" l="1"/>
  <c r="AG819" i="3" s="1"/>
  <c r="U818" i="3"/>
  <c r="Y817" i="3"/>
  <c r="AH819" i="3" l="1"/>
  <c r="E819" i="3"/>
  <c r="H819" i="3" s="1"/>
  <c r="K819" i="3" s="1"/>
  <c r="AE819" i="3" s="1"/>
  <c r="D819" i="3"/>
  <c r="V819" i="3" l="1"/>
  <c r="A820" i="3"/>
  <c r="B820" i="3" s="1"/>
  <c r="F819" i="3"/>
  <c r="G819" i="3"/>
  <c r="I819" i="3" l="1"/>
  <c r="W819" i="3" s="1"/>
  <c r="J819" i="3"/>
  <c r="AD819" i="3" s="1"/>
  <c r="M819" i="3"/>
  <c r="N819" i="3" s="1"/>
  <c r="Z820" i="3"/>
  <c r="AA820" i="3"/>
  <c r="P820" i="3"/>
  <c r="Q820" i="3" s="1"/>
  <c r="R820" i="3" s="1"/>
  <c r="S820" i="3" s="1"/>
  <c r="AC820" i="3"/>
  <c r="T820" i="3" l="1"/>
  <c r="L819" i="3"/>
  <c r="U819" i="3" l="1"/>
  <c r="E820" i="3" s="1"/>
  <c r="H820" i="3" s="1"/>
  <c r="AG820" i="3"/>
  <c r="AH820" i="3"/>
  <c r="Y818" i="3"/>
  <c r="D820" i="3" l="1"/>
  <c r="G820" i="3" s="1"/>
  <c r="K820" i="3"/>
  <c r="AE820" i="3" s="1"/>
  <c r="F820" i="3" l="1"/>
  <c r="I820" i="3"/>
  <c r="J820" i="3"/>
  <c r="AD820" i="3" s="1"/>
  <c r="M820" i="3"/>
  <c r="N820" i="3" s="1"/>
  <c r="V820" i="3"/>
  <c r="A821" i="3"/>
  <c r="B821" i="3" s="1"/>
  <c r="W820" i="3" l="1"/>
  <c r="L820" i="3"/>
  <c r="P821" i="3"/>
  <c r="Q821" i="3" s="1"/>
  <c r="R821" i="3" s="1"/>
  <c r="S821" i="3" s="1"/>
  <c r="AA821" i="3"/>
  <c r="Z821" i="3"/>
  <c r="AC821" i="3"/>
  <c r="U820" i="3" l="1"/>
  <c r="Y819" i="3"/>
  <c r="T821" i="3"/>
  <c r="AH821" i="3" s="1"/>
  <c r="AG821" i="3" l="1"/>
  <c r="D821" i="3"/>
  <c r="G821" i="3" s="1"/>
  <c r="E821" i="3"/>
  <c r="H821" i="3" s="1"/>
  <c r="F821" i="3" l="1"/>
  <c r="K821" i="3"/>
  <c r="AE821" i="3" s="1"/>
  <c r="I821" i="3"/>
  <c r="J821" i="3"/>
  <c r="AD821" i="3" s="1"/>
  <c r="M821" i="3"/>
  <c r="N821" i="3" s="1"/>
  <c r="L821" i="3" l="1"/>
  <c r="V821" i="3"/>
  <c r="W821" i="3" s="1"/>
  <c r="A822" i="3"/>
  <c r="B822" i="3" s="1"/>
  <c r="P822" i="3" l="1"/>
  <c r="Q822" i="3" s="1"/>
  <c r="R822" i="3" s="1"/>
  <c r="S822" i="3" s="1"/>
  <c r="AA822" i="3"/>
  <c r="Z822" i="3"/>
  <c r="AC822" i="3"/>
  <c r="U821" i="3"/>
  <c r="Y820" i="3"/>
  <c r="T822" i="3" l="1"/>
  <c r="AH822" i="3" s="1"/>
  <c r="D822" i="3" l="1"/>
  <c r="E822" i="3"/>
  <c r="H822" i="3" s="1"/>
  <c r="AG822" i="3"/>
  <c r="K822" i="3" l="1"/>
  <c r="AE822" i="3" s="1"/>
  <c r="F822" i="3"/>
  <c r="G822" i="3"/>
  <c r="I822" i="3" l="1"/>
  <c r="J822" i="3"/>
  <c r="AD822" i="3" s="1"/>
  <c r="M822" i="3"/>
  <c r="N822" i="3" s="1"/>
  <c r="V822" i="3"/>
  <c r="A823" i="3"/>
  <c r="B823" i="3" s="1"/>
  <c r="W822" i="3" l="1"/>
  <c r="L822" i="3"/>
  <c r="AC823" i="3"/>
  <c r="Z823" i="3"/>
  <c r="P823" i="3"/>
  <c r="Q823" i="3" s="1"/>
  <c r="R823" i="3" s="1"/>
  <c r="S823" i="3" s="1"/>
  <c r="AA823" i="3"/>
  <c r="U822" i="3" l="1"/>
  <c r="Y821" i="3"/>
  <c r="T823" i="3"/>
  <c r="D823" i="3" l="1"/>
  <c r="G823" i="3" s="1"/>
  <c r="E823" i="3"/>
  <c r="H823" i="3" s="1"/>
  <c r="AG823" i="3"/>
  <c r="AH823" i="3"/>
  <c r="F823" i="3" l="1"/>
  <c r="I823" i="3"/>
  <c r="J823" i="3"/>
  <c r="AD823" i="3" s="1"/>
  <c r="M823" i="3"/>
  <c r="N823" i="3" s="1"/>
  <c r="K823" i="3"/>
  <c r="AE823" i="3" s="1"/>
  <c r="V823" i="3" l="1"/>
  <c r="W823" i="3" s="1"/>
  <c r="A824" i="3"/>
  <c r="B824" i="3" s="1"/>
  <c r="L823" i="3"/>
  <c r="U823" i="3" l="1"/>
  <c r="Y822" i="3"/>
  <c r="Z824" i="3"/>
  <c r="P824" i="3"/>
  <c r="Q824" i="3" s="1"/>
  <c r="R824" i="3" s="1"/>
  <c r="S824" i="3" s="1"/>
  <c r="AC824" i="3"/>
  <c r="AA824" i="3"/>
  <c r="T824" i="3" l="1"/>
  <c r="D824" i="3" s="1"/>
  <c r="AH824" i="3" l="1"/>
  <c r="E824" i="3"/>
  <c r="H824" i="3" s="1"/>
  <c r="K824" i="3" s="1"/>
  <c r="AE824" i="3" s="1"/>
  <c r="AG824" i="3"/>
  <c r="G824" i="3"/>
  <c r="F824" i="3" l="1"/>
  <c r="V824" i="3"/>
  <c r="A825" i="3"/>
  <c r="B825" i="3" s="1"/>
  <c r="I824" i="3"/>
  <c r="J824" i="3"/>
  <c r="AD824" i="3" s="1"/>
  <c r="M824" i="3"/>
  <c r="N824" i="3" s="1"/>
  <c r="L824" i="3" l="1"/>
  <c r="W824" i="3"/>
  <c r="Z825" i="3"/>
  <c r="AC825" i="3"/>
  <c r="P825" i="3"/>
  <c r="Q825" i="3" s="1"/>
  <c r="R825" i="3" s="1"/>
  <c r="S825" i="3" s="1"/>
  <c r="AA825" i="3"/>
  <c r="AD825" i="3"/>
  <c r="T825" i="3" l="1"/>
  <c r="AG825" i="3" s="1"/>
  <c r="U824" i="3"/>
  <c r="Y823" i="3"/>
  <c r="D825" i="3" l="1"/>
  <c r="E825" i="3"/>
  <c r="H825" i="3" s="1"/>
  <c r="AH825" i="3"/>
  <c r="F825" i="3" l="1"/>
  <c r="G825" i="3"/>
  <c r="K825" i="3"/>
  <c r="AE825" i="3" s="1"/>
  <c r="I825" i="3" l="1"/>
  <c r="J825" i="3"/>
  <c r="M825" i="3"/>
  <c r="N825" i="3" s="1"/>
  <c r="V825" i="3"/>
  <c r="A826" i="3"/>
  <c r="B826" i="3" s="1"/>
  <c r="W825" i="3" l="1"/>
  <c r="L825" i="3"/>
  <c r="P826" i="3"/>
  <c r="Q826" i="3" s="1"/>
  <c r="R826" i="3" s="1"/>
  <c r="S826" i="3" s="1"/>
  <c r="Z826" i="3"/>
  <c r="AA826" i="3"/>
  <c r="AD826" i="3"/>
  <c r="AC826" i="3"/>
  <c r="U825" i="3" l="1"/>
  <c r="Y824" i="3"/>
  <c r="T826" i="3"/>
  <c r="AG826" i="3" s="1"/>
  <c r="E826" i="3" l="1"/>
  <c r="H826" i="3" s="1"/>
  <c r="K826" i="3" s="1"/>
  <c r="AE826" i="3" s="1"/>
  <c r="AH826" i="3"/>
  <c r="D826" i="3"/>
  <c r="G826" i="3" s="1"/>
  <c r="F826" i="3" l="1"/>
  <c r="I826" i="3"/>
  <c r="J826" i="3"/>
  <c r="M826" i="3"/>
  <c r="N826" i="3" s="1"/>
  <c r="V826" i="3"/>
  <c r="A827" i="3"/>
  <c r="B827" i="3" s="1"/>
  <c r="W826" i="3" l="1"/>
  <c r="L826" i="3"/>
  <c r="Z827" i="3"/>
  <c r="AA827" i="3"/>
  <c r="P827" i="3"/>
  <c r="Q827" i="3" s="1"/>
  <c r="R827" i="3" s="1"/>
  <c r="S827" i="3" s="1"/>
  <c r="AC827" i="3"/>
  <c r="U826" i="3" l="1"/>
  <c r="Y825" i="3"/>
  <c r="T827" i="3"/>
  <c r="AH827" i="3" s="1"/>
  <c r="D827" i="3" l="1"/>
  <c r="G827" i="3" s="1"/>
  <c r="E827" i="3"/>
  <c r="H827" i="3" s="1"/>
  <c r="K827" i="3" s="1"/>
  <c r="AE827" i="3" s="1"/>
  <c r="AG827" i="3"/>
  <c r="F827" i="3" l="1"/>
  <c r="V827" i="3"/>
  <c r="A828" i="3"/>
  <c r="B828" i="3" s="1"/>
  <c r="I827" i="3"/>
  <c r="J827" i="3"/>
  <c r="AD827" i="3" s="1"/>
  <c r="M827" i="3"/>
  <c r="N827" i="3" s="1"/>
  <c r="W827" i="3" l="1"/>
  <c r="L827" i="3"/>
  <c r="AD828" i="3"/>
  <c r="P828" i="3"/>
  <c r="Q828" i="3" s="1"/>
  <c r="R828" i="3" s="1"/>
  <c r="S828" i="3" s="1"/>
  <c r="AC828" i="3"/>
  <c r="AA828" i="3"/>
  <c r="Z828" i="3"/>
  <c r="U827" i="3" l="1"/>
  <c r="Y826" i="3"/>
  <c r="T828" i="3"/>
  <c r="D828" i="3" l="1"/>
  <c r="G828" i="3" s="1"/>
  <c r="AG828" i="3"/>
  <c r="AH828" i="3"/>
  <c r="E828" i="3"/>
  <c r="H828" i="3" s="1"/>
  <c r="F828" i="3" l="1"/>
  <c r="I828" i="3"/>
  <c r="J828" i="3"/>
  <c r="M828" i="3"/>
  <c r="N828" i="3" s="1"/>
  <c r="K828" i="3"/>
  <c r="AE828" i="3" s="1"/>
  <c r="V828" i="3" l="1"/>
  <c r="W828" i="3" s="1"/>
  <c r="A829" i="3"/>
  <c r="B829" i="3" s="1"/>
  <c r="L828" i="3"/>
  <c r="U828" i="3" l="1"/>
  <c r="Y827" i="3"/>
  <c r="AC829" i="3"/>
  <c r="Z829" i="3"/>
  <c r="AA829" i="3"/>
  <c r="P829" i="3"/>
  <c r="Q829" i="3" s="1"/>
  <c r="R829" i="3" s="1"/>
  <c r="S829" i="3" s="1"/>
  <c r="AD829" i="3"/>
  <c r="T829" i="3" l="1"/>
  <c r="E829" i="3" s="1"/>
  <c r="H829" i="3" s="1"/>
  <c r="AH829" i="3" l="1"/>
  <c r="D829" i="3"/>
  <c r="G829" i="3" s="1"/>
  <c r="AG829" i="3"/>
  <c r="K829" i="3"/>
  <c r="AE829" i="3" s="1"/>
  <c r="F829" i="3" l="1"/>
  <c r="I829" i="3"/>
  <c r="J829" i="3"/>
  <c r="M829" i="3"/>
  <c r="N829" i="3" s="1"/>
  <c r="V829" i="3"/>
  <c r="A830" i="3"/>
  <c r="B830" i="3" s="1"/>
  <c r="W829" i="3" l="1"/>
  <c r="L829" i="3"/>
  <c r="AA830" i="3"/>
  <c r="Z830" i="3"/>
  <c r="AC830" i="3"/>
  <c r="AD830" i="3"/>
  <c r="P830" i="3"/>
  <c r="Q830" i="3" s="1"/>
  <c r="R830" i="3" s="1"/>
  <c r="S830" i="3" s="1"/>
  <c r="U829" i="3" l="1"/>
  <c r="Y828" i="3"/>
  <c r="T830" i="3"/>
  <c r="D830" i="3" l="1"/>
  <c r="G830" i="3" s="1"/>
  <c r="E830" i="3"/>
  <c r="H830" i="3" s="1"/>
  <c r="AG830" i="3"/>
  <c r="AH830" i="3"/>
  <c r="F830" i="3" l="1"/>
  <c r="I830" i="3"/>
  <c r="J830" i="3"/>
  <c r="M830" i="3"/>
  <c r="N830" i="3" s="1"/>
  <c r="K830" i="3"/>
  <c r="AE830" i="3" s="1"/>
  <c r="V830" i="3" l="1"/>
  <c r="W830" i="3" s="1"/>
  <c r="A831" i="3"/>
  <c r="B831" i="3" s="1"/>
  <c r="L830" i="3"/>
  <c r="U830" i="3" l="1"/>
  <c r="Y829" i="3"/>
  <c r="Z831" i="3"/>
  <c r="P831" i="3"/>
  <c r="Q831" i="3" s="1"/>
  <c r="R831" i="3" s="1"/>
  <c r="S831" i="3" s="1"/>
  <c r="AA831" i="3"/>
  <c r="AD831" i="3"/>
  <c r="AC831" i="3"/>
  <c r="T831" i="3" l="1"/>
  <c r="AH831" i="3" s="1"/>
  <c r="E831" i="3" l="1"/>
  <c r="H831" i="3" s="1"/>
  <c r="K831" i="3" s="1"/>
  <c r="AE831" i="3" s="1"/>
  <c r="D831" i="3"/>
  <c r="G831" i="3" s="1"/>
  <c r="AG831" i="3"/>
  <c r="F831" i="3" l="1"/>
  <c r="I831" i="3"/>
  <c r="J831" i="3"/>
  <c r="M831" i="3"/>
  <c r="N831" i="3" s="1"/>
  <c r="V831" i="3"/>
  <c r="A832" i="3"/>
  <c r="B832" i="3" s="1"/>
  <c r="W831" i="3" l="1"/>
  <c r="L831" i="3"/>
  <c r="P832" i="3"/>
  <c r="Q832" i="3" s="1"/>
  <c r="R832" i="3" s="1"/>
  <c r="S832" i="3" s="1"/>
  <c r="AC832" i="3"/>
  <c r="AD832" i="3"/>
  <c r="Z832" i="3"/>
  <c r="AA832" i="3"/>
  <c r="U831" i="3" l="1"/>
  <c r="Y830" i="3"/>
  <c r="T832" i="3"/>
  <c r="AH832" i="3" s="1"/>
  <c r="D832" i="3" l="1"/>
  <c r="G832" i="3" s="1"/>
  <c r="AG832" i="3"/>
  <c r="E832" i="3"/>
  <c r="H832" i="3" s="1"/>
  <c r="K832" i="3" l="1"/>
  <c r="AE832" i="3" s="1"/>
  <c r="I832" i="3"/>
  <c r="J832" i="3"/>
  <c r="M832" i="3"/>
  <c r="N832" i="3" s="1"/>
  <c r="F832" i="3"/>
  <c r="L832" i="3" l="1"/>
  <c r="V832" i="3"/>
  <c r="W832" i="3" s="1"/>
  <c r="A833" i="3"/>
  <c r="B833" i="3" s="1"/>
  <c r="U832" i="3" l="1"/>
  <c r="Y831" i="3"/>
  <c r="Z833" i="3"/>
  <c r="AC833" i="3"/>
  <c r="P833" i="3"/>
  <c r="Q833" i="3" s="1"/>
  <c r="R833" i="3" s="1"/>
  <c r="S833" i="3" s="1"/>
  <c r="AD833" i="3"/>
  <c r="AA833" i="3"/>
  <c r="T833" i="3" l="1"/>
  <c r="AH833" i="3" s="1"/>
  <c r="E833" i="3" l="1"/>
  <c r="H833" i="3" s="1"/>
  <c r="K833" i="3" s="1"/>
  <c r="AE833" i="3" s="1"/>
  <c r="AG833" i="3"/>
  <c r="D833" i="3"/>
  <c r="G833" i="3" s="1"/>
  <c r="F833" i="3" l="1"/>
  <c r="I833" i="3"/>
  <c r="J833" i="3"/>
  <c r="M833" i="3"/>
  <c r="N833" i="3" s="1"/>
  <c r="V833" i="3"/>
  <c r="A834" i="3"/>
  <c r="B834" i="3" s="1"/>
  <c r="L833" i="3" l="1"/>
  <c r="W833" i="3"/>
  <c r="AC834" i="3"/>
  <c r="P834" i="3"/>
  <c r="Q834" i="3" s="1"/>
  <c r="R834" i="3" s="1"/>
  <c r="S834" i="3" s="1"/>
  <c r="AA834" i="3"/>
  <c r="Z834" i="3"/>
  <c r="U833" i="3" l="1"/>
  <c r="Y832" i="3"/>
  <c r="T834" i="3"/>
  <c r="D834" i="3" l="1"/>
  <c r="G834" i="3" s="1"/>
  <c r="E834" i="3"/>
  <c r="H834" i="3" s="1"/>
  <c r="K834" i="3" s="1"/>
  <c r="AE834" i="3" s="1"/>
  <c r="AH834" i="3"/>
  <c r="AG834" i="3"/>
  <c r="F834" i="3" l="1"/>
  <c r="V834" i="3"/>
  <c r="A835" i="3"/>
  <c r="B835" i="3" s="1"/>
  <c r="I834" i="3"/>
  <c r="J834" i="3"/>
  <c r="AD834" i="3" s="1"/>
  <c r="M834" i="3"/>
  <c r="N834" i="3" s="1"/>
  <c r="W834" i="3" l="1"/>
  <c r="L834" i="3"/>
  <c r="Z835" i="3"/>
  <c r="P835" i="3"/>
  <c r="Q835" i="3" s="1"/>
  <c r="R835" i="3" s="1"/>
  <c r="S835" i="3" s="1"/>
  <c r="AC835" i="3"/>
  <c r="AA835" i="3"/>
  <c r="T835" i="3" l="1"/>
  <c r="U834" i="3"/>
  <c r="Y833" i="3"/>
  <c r="E835" i="3" l="1"/>
  <c r="H835" i="3" s="1"/>
  <c r="K835" i="3" s="1"/>
  <c r="AE835" i="3" s="1"/>
  <c r="AH835" i="3"/>
  <c r="AG835" i="3"/>
  <c r="D835" i="3"/>
  <c r="F835" i="3" l="1"/>
  <c r="G835" i="3"/>
  <c r="V835" i="3"/>
  <c r="A836" i="3"/>
  <c r="B836" i="3" s="1"/>
  <c r="I835" i="3" l="1"/>
  <c r="W835" i="3" s="1"/>
  <c r="J835" i="3"/>
  <c r="AD835" i="3" s="1"/>
  <c r="M835" i="3"/>
  <c r="N835" i="3" s="1"/>
  <c r="Z836" i="3"/>
  <c r="AA836" i="3"/>
  <c r="AC836" i="3"/>
  <c r="P836" i="3"/>
  <c r="Q836" i="3" s="1"/>
  <c r="R836" i="3" s="1"/>
  <c r="S836" i="3" s="1"/>
  <c r="T836" i="3" l="1"/>
  <c r="L835" i="3"/>
  <c r="AG836" i="3" l="1"/>
  <c r="U835" i="3"/>
  <c r="D836" i="3" s="1"/>
  <c r="AH836" i="3"/>
  <c r="Y834" i="3"/>
  <c r="E836" i="3" l="1"/>
  <c r="H836" i="3" s="1"/>
  <c r="K836" i="3" s="1"/>
  <c r="AE836" i="3" s="1"/>
  <c r="G836" i="3"/>
  <c r="F836" i="3" l="1"/>
  <c r="V836" i="3"/>
  <c r="A837" i="3"/>
  <c r="B837" i="3" s="1"/>
  <c r="I836" i="3"/>
  <c r="J836" i="3"/>
  <c r="AD836" i="3" s="1"/>
  <c r="M836" i="3"/>
  <c r="N836" i="3" s="1"/>
  <c r="L836" i="3" l="1"/>
  <c r="W836" i="3"/>
  <c r="P837" i="3"/>
  <c r="Q837" i="3" s="1"/>
  <c r="R837" i="3" s="1"/>
  <c r="S837" i="3" s="1"/>
  <c r="AA837" i="3"/>
  <c r="AC837" i="3"/>
  <c r="Z837" i="3"/>
  <c r="U836" i="3" l="1"/>
  <c r="Y835" i="3"/>
  <c r="T837" i="3"/>
  <c r="AH837" i="3" s="1"/>
  <c r="E837" i="3" l="1"/>
  <c r="H837" i="3" s="1"/>
  <c r="K837" i="3" s="1"/>
  <c r="AE837" i="3" s="1"/>
  <c r="D837" i="3"/>
  <c r="G837" i="3" s="1"/>
  <c r="AG837" i="3"/>
  <c r="F837" i="3" l="1"/>
  <c r="I837" i="3"/>
  <c r="J837" i="3"/>
  <c r="AD837" i="3" s="1"/>
  <c r="M837" i="3"/>
  <c r="N837" i="3" s="1"/>
  <c r="V837" i="3"/>
  <c r="A838" i="3"/>
  <c r="B838" i="3" s="1"/>
  <c r="W837" i="3" l="1"/>
  <c r="L837" i="3"/>
  <c r="P838" i="3"/>
  <c r="Q838" i="3" s="1"/>
  <c r="R838" i="3" s="1"/>
  <c r="S838" i="3" s="1"/>
  <c r="AA838" i="3"/>
  <c r="AC838" i="3"/>
  <c r="Z838" i="3"/>
  <c r="U837" i="3" l="1"/>
  <c r="Y836" i="3"/>
  <c r="T838" i="3"/>
  <c r="AH838" i="3" s="1"/>
  <c r="E838" i="3" l="1"/>
  <c r="H838" i="3" s="1"/>
  <c r="D838" i="3"/>
  <c r="AG838" i="3"/>
  <c r="K838" i="3" l="1"/>
  <c r="AE838" i="3" s="1"/>
  <c r="F838" i="3"/>
  <c r="G838" i="3"/>
  <c r="V838" i="3" l="1"/>
  <c r="A839" i="3"/>
  <c r="B839" i="3" s="1"/>
  <c r="I838" i="3"/>
  <c r="J838" i="3"/>
  <c r="AD838" i="3" s="1"/>
  <c r="M838" i="3"/>
  <c r="N838" i="3" s="1"/>
  <c r="W838" i="3" l="1"/>
  <c r="L838" i="3"/>
  <c r="AC839" i="3"/>
  <c r="Z839" i="3"/>
  <c r="AA839" i="3"/>
  <c r="P839" i="3"/>
  <c r="Q839" i="3" s="1"/>
  <c r="R839" i="3" s="1"/>
  <c r="S839" i="3" s="1"/>
  <c r="U838" i="3" l="1"/>
  <c r="Y837" i="3"/>
  <c r="T839" i="3"/>
  <c r="AG839" i="3" s="1"/>
  <c r="D839" i="3" l="1"/>
  <c r="E839" i="3"/>
  <c r="H839" i="3" s="1"/>
  <c r="AH839" i="3"/>
  <c r="F839" i="3" l="1"/>
  <c r="G839" i="3"/>
  <c r="K839" i="3"/>
  <c r="AE839" i="3" s="1"/>
  <c r="V839" i="3" l="1"/>
  <c r="A840" i="3"/>
  <c r="B840" i="3" s="1"/>
  <c r="I839" i="3"/>
  <c r="J839" i="3"/>
  <c r="AD839" i="3" s="1"/>
  <c r="M839" i="3"/>
  <c r="N839" i="3" s="1"/>
  <c r="W839" i="3" l="1"/>
  <c r="L839" i="3"/>
  <c r="AC840" i="3"/>
  <c r="P840" i="3"/>
  <c r="Q840" i="3" s="1"/>
  <c r="R840" i="3" s="1"/>
  <c r="S840" i="3" s="1"/>
  <c r="AA840" i="3"/>
  <c r="Z840" i="3"/>
  <c r="T840" i="3" l="1"/>
  <c r="U839" i="3"/>
  <c r="Y838" i="3"/>
  <c r="D840" i="3" l="1"/>
  <c r="G840" i="3" s="1"/>
  <c r="AG840" i="3"/>
  <c r="E840" i="3"/>
  <c r="H840" i="3" s="1"/>
  <c r="AH840" i="3"/>
  <c r="K840" i="3" l="1"/>
  <c r="AE840" i="3" s="1"/>
  <c r="I840" i="3"/>
  <c r="J840" i="3"/>
  <c r="AD840" i="3" s="1"/>
  <c r="M840" i="3"/>
  <c r="N840" i="3" s="1"/>
  <c r="F840" i="3"/>
  <c r="L840" i="3" l="1"/>
  <c r="V840" i="3"/>
  <c r="W840" i="3" s="1"/>
  <c r="A841" i="3"/>
  <c r="B841" i="3" s="1"/>
  <c r="U840" i="3" l="1"/>
  <c r="Y839" i="3"/>
  <c r="AA841" i="3"/>
  <c r="Z841" i="3"/>
  <c r="AC841" i="3"/>
  <c r="P841" i="3"/>
  <c r="Q841" i="3" s="1"/>
  <c r="R841" i="3" s="1"/>
  <c r="S841" i="3" s="1"/>
  <c r="T841" i="3" l="1"/>
  <c r="AH841" i="3" s="1"/>
  <c r="E841" i="3" l="1"/>
  <c r="H841" i="3" s="1"/>
  <c r="K841" i="3" s="1"/>
  <c r="AE841" i="3" s="1"/>
  <c r="AG841" i="3"/>
  <c r="D841" i="3"/>
  <c r="G841" i="3" s="1"/>
  <c r="F841" i="3" l="1"/>
  <c r="I841" i="3"/>
  <c r="J841" i="3"/>
  <c r="AD841" i="3" s="1"/>
  <c r="M841" i="3"/>
  <c r="N841" i="3" s="1"/>
  <c r="V841" i="3"/>
  <c r="A842" i="3"/>
  <c r="B842" i="3" s="1"/>
  <c r="W841" i="3" l="1"/>
  <c r="L841" i="3"/>
  <c r="P842" i="3"/>
  <c r="Q842" i="3" s="1"/>
  <c r="R842" i="3" s="1"/>
  <c r="S842" i="3" s="1"/>
  <c r="Z842" i="3"/>
  <c r="AC842" i="3"/>
  <c r="AA842" i="3"/>
  <c r="U841" i="3" l="1"/>
  <c r="Y840" i="3"/>
  <c r="T842" i="3"/>
  <c r="AG842" i="3" s="1"/>
  <c r="D842" i="3" l="1"/>
  <c r="G842" i="3" s="1"/>
  <c r="E842" i="3"/>
  <c r="H842" i="3" s="1"/>
  <c r="K842" i="3" s="1"/>
  <c r="AE842" i="3" s="1"/>
  <c r="AH842" i="3"/>
  <c r="F842" i="3" l="1"/>
  <c r="V842" i="3"/>
  <c r="A843" i="3"/>
  <c r="B843" i="3" s="1"/>
  <c r="I842" i="3"/>
  <c r="J842" i="3"/>
  <c r="AD842" i="3" s="1"/>
  <c r="M842" i="3"/>
  <c r="N842" i="3" s="1"/>
  <c r="W842" i="3" l="1"/>
  <c r="L842" i="3"/>
  <c r="AC843" i="3"/>
  <c r="AA843" i="3"/>
  <c r="Z843" i="3"/>
  <c r="P843" i="3"/>
  <c r="Q843" i="3" s="1"/>
  <c r="R843" i="3" s="1"/>
  <c r="S843" i="3" s="1"/>
  <c r="U842" i="3" l="1"/>
  <c r="Y841" i="3"/>
  <c r="T843" i="3"/>
  <c r="AG843" i="3" s="1"/>
  <c r="D843" i="3" l="1"/>
  <c r="E843" i="3"/>
  <c r="H843" i="3" s="1"/>
  <c r="AH843" i="3"/>
  <c r="F843" i="3" l="1"/>
  <c r="G843" i="3"/>
  <c r="K843" i="3"/>
  <c r="AE843" i="3" s="1"/>
  <c r="V843" i="3" l="1"/>
  <c r="A844" i="3"/>
  <c r="B844" i="3" s="1"/>
  <c r="I843" i="3"/>
  <c r="J843" i="3"/>
  <c r="AD843" i="3" s="1"/>
  <c r="M843" i="3"/>
  <c r="N843" i="3" s="1"/>
  <c r="W843" i="3" l="1"/>
  <c r="L843" i="3"/>
  <c r="AC844" i="3"/>
  <c r="P844" i="3"/>
  <c r="Q844" i="3" s="1"/>
  <c r="R844" i="3" s="1"/>
  <c r="S844" i="3" s="1"/>
  <c r="Z844" i="3"/>
  <c r="AA844" i="3"/>
  <c r="U843" i="3" l="1"/>
  <c r="Y842" i="3"/>
  <c r="T844" i="3"/>
  <c r="AH844" i="3" s="1"/>
  <c r="AG844" i="3" l="1"/>
  <c r="E844" i="3"/>
  <c r="H844" i="3" s="1"/>
  <c r="K844" i="3" s="1"/>
  <c r="AE844" i="3" s="1"/>
  <c r="D844" i="3"/>
  <c r="V844" i="3" l="1"/>
  <c r="A845" i="3"/>
  <c r="B845" i="3" s="1"/>
  <c r="F844" i="3"/>
  <c r="G844" i="3"/>
  <c r="I844" i="3" l="1"/>
  <c r="W844" i="3" s="1"/>
  <c r="J844" i="3"/>
  <c r="AD844" i="3" s="1"/>
  <c r="M844" i="3"/>
  <c r="N844" i="3" s="1"/>
  <c r="AC845" i="3"/>
  <c r="P845" i="3"/>
  <c r="Q845" i="3" s="1"/>
  <c r="R845" i="3" s="1"/>
  <c r="S845" i="3" s="1"/>
  <c r="Z845" i="3"/>
  <c r="AA845" i="3"/>
  <c r="T845" i="3" l="1"/>
  <c r="L844" i="3"/>
  <c r="AH845" i="3" l="1"/>
  <c r="U844" i="3"/>
  <c r="D845" i="3" s="1"/>
  <c r="AG845" i="3"/>
  <c r="Y843" i="3"/>
  <c r="E845" i="3" l="1"/>
  <c r="H845" i="3" s="1"/>
  <c r="K845" i="3" s="1"/>
  <c r="AE845" i="3" s="1"/>
  <c r="G845" i="3"/>
  <c r="F845" i="3" l="1"/>
  <c r="I845" i="3"/>
  <c r="J845" i="3"/>
  <c r="AD845" i="3" s="1"/>
  <c r="M845" i="3"/>
  <c r="N845" i="3" s="1"/>
  <c r="V845" i="3"/>
  <c r="A846" i="3"/>
  <c r="B846" i="3" s="1"/>
  <c r="W845" i="3" l="1"/>
  <c r="L845" i="3"/>
  <c r="P846" i="3"/>
  <c r="Q846" i="3" s="1"/>
  <c r="R846" i="3" s="1"/>
  <c r="S846" i="3" s="1"/>
  <c r="AC846" i="3"/>
  <c r="Z846" i="3"/>
  <c r="AA846" i="3"/>
  <c r="U845" i="3" l="1"/>
  <c r="Y844" i="3"/>
  <c r="T846" i="3"/>
  <c r="AH846" i="3" s="1"/>
  <c r="D846" i="3" l="1"/>
  <c r="G846" i="3" s="1"/>
  <c r="E846" i="3"/>
  <c r="H846" i="3" s="1"/>
  <c r="K846" i="3" s="1"/>
  <c r="AE846" i="3" s="1"/>
  <c r="AG846" i="3"/>
  <c r="F846" i="3" l="1"/>
  <c r="I846" i="3"/>
  <c r="J846" i="3"/>
  <c r="AD846" i="3" s="1"/>
  <c r="M846" i="3"/>
  <c r="N846" i="3" s="1"/>
  <c r="V846" i="3"/>
  <c r="A847" i="3"/>
  <c r="B847" i="3" s="1"/>
  <c r="W846" i="3" l="1"/>
  <c r="L846" i="3"/>
  <c r="AC847" i="3"/>
  <c r="P847" i="3"/>
  <c r="Q847" i="3" s="1"/>
  <c r="R847" i="3" s="1"/>
  <c r="S847" i="3" s="1"/>
  <c r="AA847" i="3"/>
  <c r="Z847" i="3"/>
  <c r="U846" i="3" l="1"/>
  <c r="Y845" i="3"/>
  <c r="T847" i="3"/>
  <c r="D847" i="3" l="1"/>
  <c r="G847" i="3" s="1"/>
  <c r="E847" i="3"/>
  <c r="H847" i="3" s="1"/>
  <c r="K847" i="3" s="1"/>
  <c r="AE847" i="3" s="1"/>
  <c r="AH847" i="3"/>
  <c r="AG847" i="3"/>
  <c r="F847" i="3" l="1"/>
  <c r="I847" i="3"/>
  <c r="J847" i="3"/>
  <c r="AD847" i="3" s="1"/>
  <c r="M847" i="3"/>
  <c r="N847" i="3" s="1"/>
  <c r="V847" i="3"/>
  <c r="A848" i="3"/>
  <c r="B848" i="3" s="1"/>
  <c r="W847" i="3" l="1"/>
  <c r="L847" i="3"/>
  <c r="AA848" i="3"/>
  <c r="P848" i="3"/>
  <c r="Q848" i="3" s="1"/>
  <c r="R848" i="3" s="1"/>
  <c r="S848" i="3" s="1"/>
  <c r="Z848" i="3"/>
  <c r="AC848" i="3"/>
  <c r="U847" i="3" l="1"/>
  <c r="Y846" i="3"/>
  <c r="T848" i="3"/>
  <c r="AG848" i="3" s="1"/>
  <c r="D848" i="3" l="1"/>
  <c r="AH848" i="3"/>
  <c r="E848" i="3"/>
  <c r="H848" i="3" s="1"/>
  <c r="F848" i="3" l="1"/>
  <c r="G848" i="3"/>
  <c r="K848" i="3"/>
  <c r="AE848" i="3" s="1"/>
  <c r="V848" i="3" l="1"/>
  <c r="A849" i="3"/>
  <c r="B849" i="3" s="1"/>
  <c r="I848" i="3"/>
  <c r="J848" i="3"/>
  <c r="AD848" i="3" s="1"/>
  <c r="M848" i="3"/>
  <c r="N848" i="3" s="1"/>
  <c r="W848" i="3" l="1"/>
  <c r="L848" i="3"/>
  <c r="P849" i="3"/>
  <c r="Q849" i="3" s="1"/>
  <c r="R849" i="3" s="1"/>
  <c r="S849" i="3" s="1"/>
  <c r="AC849" i="3"/>
  <c r="Z849" i="3"/>
  <c r="AA849" i="3"/>
  <c r="U848" i="3" l="1"/>
  <c r="Y847" i="3"/>
  <c r="T849" i="3"/>
  <c r="AG849" i="3" s="1"/>
  <c r="E849" i="3" l="1"/>
  <c r="H849" i="3" s="1"/>
  <c r="K849" i="3" s="1"/>
  <c r="AE849" i="3" s="1"/>
  <c r="D849" i="3"/>
  <c r="G849" i="3" s="1"/>
  <c r="AH849" i="3"/>
  <c r="F849" i="3" l="1"/>
  <c r="V849" i="3"/>
  <c r="A850" i="3"/>
  <c r="B850" i="3" s="1"/>
  <c r="I849" i="3"/>
  <c r="J849" i="3"/>
  <c r="AD849" i="3" s="1"/>
  <c r="M849" i="3"/>
  <c r="N849" i="3" s="1"/>
  <c r="W849" i="3" l="1"/>
  <c r="L849" i="3"/>
  <c r="AA850" i="3"/>
  <c r="AC850" i="3"/>
  <c r="P850" i="3"/>
  <c r="Q850" i="3" s="1"/>
  <c r="R850" i="3" s="1"/>
  <c r="S850" i="3" s="1"/>
  <c r="Z850" i="3"/>
  <c r="T850" i="3" l="1"/>
  <c r="AG850" i="3" s="1"/>
  <c r="U849" i="3"/>
  <c r="Y848" i="3"/>
  <c r="E850" i="3" l="1"/>
  <c r="H850" i="3" s="1"/>
  <c r="D850" i="3"/>
  <c r="AH850" i="3"/>
  <c r="K850" i="3" l="1"/>
  <c r="AE850" i="3" s="1"/>
  <c r="F850" i="3"/>
  <c r="G850" i="3"/>
  <c r="I850" i="3" l="1"/>
  <c r="J850" i="3"/>
  <c r="AD850" i="3" s="1"/>
  <c r="M850" i="3"/>
  <c r="N850" i="3" s="1"/>
  <c r="V850" i="3"/>
  <c r="A851" i="3"/>
  <c r="B851" i="3" s="1"/>
  <c r="W850" i="3" l="1"/>
  <c r="L850" i="3"/>
  <c r="P851" i="3"/>
  <c r="Q851" i="3" s="1"/>
  <c r="R851" i="3" s="1"/>
  <c r="S851" i="3" s="1"/>
  <c r="AA851" i="3"/>
  <c r="AC851" i="3"/>
  <c r="Z851" i="3"/>
  <c r="U850" i="3" l="1"/>
  <c r="Y849" i="3"/>
  <c r="T851" i="3"/>
  <c r="AH851" i="3" s="1"/>
  <c r="E851" i="3" l="1"/>
  <c r="H851" i="3" s="1"/>
  <c r="K851" i="3" s="1"/>
  <c r="AE851" i="3" s="1"/>
  <c r="AG851" i="3"/>
  <c r="D851" i="3"/>
  <c r="F851" i="3" l="1"/>
  <c r="G851" i="3"/>
  <c r="M851" i="3" s="1"/>
  <c r="N851" i="3" s="1"/>
  <c r="V851" i="3"/>
  <c r="A852" i="3"/>
  <c r="B852" i="3" s="1"/>
  <c r="I851" i="3" l="1"/>
  <c r="W851" i="3" s="1"/>
  <c r="J851" i="3"/>
  <c r="AC852" i="3"/>
  <c r="AA852" i="3"/>
  <c r="P852" i="3"/>
  <c r="Q852" i="3" s="1"/>
  <c r="R852" i="3" s="1"/>
  <c r="S852" i="3" s="1"/>
  <c r="Z852" i="3"/>
  <c r="L851" i="3" l="1"/>
  <c r="U851" i="3" s="1"/>
  <c r="AD851" i="3"/>
  <c r="T852" i="3"/>
  <c r="Y850" i="3" l="1"/>
  <c r="D852" i="3"/>
  <c r="G852" i="3" s="1"/>
  <c r="AH852" i="3"/>
  <c r="E852" i="3"/>
  <c r="H852" i="3" s="1"/>
  <c r="AG852" i="3"/>
  <c r="F852" i="3" l="1"/>
  <c r="I852" i="3"/>
  <c r="J852" i="3"/>
  <c r="AD852" i="3" s="1"/>
  <c r="M852" i="3"/>
  <c r="N852" i="3" s="1"/>
  <c r="K852" i="3"/>
  <c r="AE852" i="3" s="1"/>
  <c r="L852" i="3" l="1"/>
  <c r="V852" i="3"/>
  <c r="W852" i="3" s="1"/>
  <c r="A853" i="3"/>
  <c r="B853" i="3" s="1"/>
  <c r="U852" i="3" l="1"/>
  <c r="Y851" i="3"/>
  <c r="AC853" i="3"/>
  <c r="P853" i="3"/>
  <c r="Q853" i="3" s="1"/>
  <c r="R853" i="3" s="1"/>
  <c r="S853" i="3" s="1"/>
  <c r="Z853" i="3"/>
  <c r="AA853" i="3"/>
  <c r="T853" i="3" l="1"/>
  <c r="AG853" i="3" s="1"/>
  <c r="E853" i="3" l="1"/>
  <c r="H853" i="3" s="1"/>
  <c r="AH853" i="3"/>
  <c r="D853" i="3"/>
  <c r="K853" i="3" l="1"/>
  <c r="AE853" i="3" s="1"/>
  <c r="F853" i="3"/>
  <c r="G853" i="3"/>
  <c r="I853" i="3" l="1"/>
  <c r="J853" i="3"/>
  <c r="AD853" i="3" s="1"/>
  <c r="M853" i="3"/>
  <c r="N853" i="3" s="1"/>
  <c r="V853" i="3"/>
  <c r="A854" i="3"/>
  <c r="B854" i="3" s="1"/>
  <c r="W853" i="3" l="1"/>
  <c r="L853" i="3"/>
  <c r="Z854" i="3"/>
  <c r="P854" i="3"/>
  <c r="Q854" i="3" s="1"/>
  <c r="R854" i="3" s="1"/>
  <c r="S854" i="3" s="1"/>
  <c r="AC854" i="3"/>
  <c r="AA854" i="3"/>
  <c r="U853" i="3" l="1"/>
  <c r="Y852" i="3"/>
  <c r="T854" i="3"/>
  <c r="AG854" i="3" s="1"/>
  <c r="E854" i="3" l="1"/>
  <c r="H854" i="3" s="1"/>
  <c r="K854" i="3" s="1"/>
  <c r="AE854" i="3" s="1"/>
  <c r="AH854" i="3"/>
  <c r="D854" i="3"/>
  <c r="G854" i="3" s="1"/>
  <c r="F854" i="3" l="1"/>
  <c r="I854" i="3"/>
  <c r="J854" i="3"/>
  <c r="AD854" i="3" s="1"/>
  <c r="M854" i="3"/>
  <c r="N854" i="3" s="1"/>
  <c r="V854" i="3"/>
  <c r="A855" i="3"/>
  <c r="B855" i="3" s="1"/>
  <c r="W854" i="3" l="1"/>
  <c r="L854" i="3"/>
  <c r="Z855" i="3"/>
  <c r="P855" i="3"/>
  <c r="Q855" i="3" s="1"/>
  <c r="R855" i="3" s="1"/>
  <c r="S855" i="3" s="1"/>
  <c r="AA855" i="3"/>
  <c r="AC855" i="3"/>
  <c r="T855" i="3" l="1"/>
  <c r="AG855" i="3" s="1"/>
  <c r="U854" i="3"/>
  <c r="Y853" i="3"/>
  <c r="E855" i="3" l="1"/>
  <c r="H855" i="3" s="1"/>
  <c r="K855" i="3" s="1"/>
  <c r="AE855" i="3" s="1"/>
  <c r="D855" i="3"/>
  <c r="AH855" i="3"/>
  <c r="F855" i="3" l="1"/>
  <c r="G855" i="3"/>
  <c r="V855" i="3"/>
  <c r="A856" i="3"/>
  <c r="B856" i="3" s="1"/>
  <c r="AA856" i="3" l="1"/>
  <c r="P856" i="3"/>
  <c r="Q856" i="3" s="1"/>
  <c r="R856" i="3" s="1"/>
  <c r="S856" i="3" s="1"/>
  <c r="Z856" i="3"/>
  <c r="AC856" i="3"/>
  <c r="I855" i="3"/>
  <c r="W855" i="3" s="1"/>
  <c r="J855" i="3"/>
  <c r="AD855" i="3" s="1"/>
  <c r="M855" i="3"/>
  <c r="N855" i="3" s="1"/>
  <c r="L855" i="3" l="1"/>
  <c r="T856" i="3"/>
  <c r="U855" i="3" l="1"/>
  <c r="D856" i="3" s="1"/>
  <c r="AH856" i="3"/>
  <c r="AG856" i="3"/>
  <c r="Y854" i="3"/>
  <c r="G856" i="3" l="1"/>
  <c r="E856" i="3"/>
  <c r="H856" i="3" s="1"/>
  <c r="F856" i="3" l="1"/>
  <c r="K856" i="3"/>
  <c r="AE856" i="3" s="1"/>
  <c r="I856" i="3"/>
  <c r="J856" i="3"/>
  <c r="AD856" i="3" s="1"/>
  <c r="M856" i="3"/>
  <c r="N856" i="3" s="1"/>
  <c r="L856" i="3" l="1"/>
  <c r="V856" i="3"/>
  <c r="W856" i="3" s="1"/>
  <c r="A857" i="3"/>
  <c r="B857" i="3" s="1"/>
  <c r="Z857" i="3" l="1"/>
  <c r="AC857" i="3"/>
  <c r="AA857" i="3"/>
  <c r="P857" i="3"/>
  <c r="Q857" i="3" s="1"/>
  <c r="R857" i="3" s="1"/>
  <c r="S857" i="3" s="1"/>
  <c r="U856" i="3"/>
  <c r="Y855" i="3"/>
  <c r="T857" i="3" l="1"/>
  <c r="E857" i="3" l="1"/>
  <c r="H857" i="3" s="1"/>
  <c r="AG857" i="3"/>
  <c r="D857" i="3"/>
  <c r="AH857" i="3"/>
  <c r="K857" i="3" l="1"/>
  <c r="AE857" i="3" s="1"/>
  <c r="F857" i="3"/>
  <c r="G857" i="3"/>
  <c r="I857" i="3" l="1"/>
  <c r="J857" i="3"/>
  <c r="AD857" i="3" s="1"/>
  <c r="M857" i="3"/>
  <c r="N857" i="3" s="1"/>
  <c r="V857" i="3"/>
  <c r="A858" i="3"/>
  <c r="B858" i="3" s="1"/>
  <c r="W857" i="3" l="1"/>
  <c r="L857" i="3"/>
  <c r="AA858" i="3"/>
  <c r="Z858" i="3"/>
  <c r="P858" i="3"/>
  <c r="Q858" i="3" s="1"/>
  <c r="R858" i="3" s="1"/>
  <c r="S858" i="3" s="1"/>
  <c r="AC858" i="3"/>
  <c r="U857" i="3" l="1"/>
  <c r="Y856" i="3"/>
  <c r="T858" i="3"/>
  <c r="D858" i="3" l="1"/>
  <c r="G858" i="3" s="1"/>
  <c r="E858" i="3"/>
  <c r="H858" i="3" s="1"/>
  <c r="K858" i="3" s="1"/>
  <c r="AE858" i="3" s="1"/>
  <c r="AG858" i="3"/>
  <c r="AH858" i="3"/>
  <c r="F858" i="3" l="1"/>
  <c r="V858" i="3"/>
  <c r="A859" i="3"/>
  <c r="B859" i="3" s="1"/>
  <c r="I858" i="3"/>
  <c r="J858" i="3"/>
  <c r="AD858" i="3" s="1"/>
  <c r="M858" i="3"/>
  <c r="N858" i="3" s="1"/>
  <c r="W858" i="3" l="1"/>
  <c r="L858" i="3"/>
  <c r="AC859" i="3"/>
  <c r="P859" i="3"/>
  <c r="Q859" i="3" s="1"/>
  <c r="R859" i="3" s="1"/>
  <c r="S859" i="3" s="1"/>
  <c r="AA859" i="3"/>
  <c r="Z859" i="3"/>
  <c r="U858" i="3" l="1"/>
  <c r="Y857" i="3"/>
  <c r="T859" i="3"/>
  <c r="D859" i="3" l="1"/>
  <c r="G859" i="3" s="1"/>
  <c r="AH859" i="3"/>
  <c r="AG859" i="3"/>
  <c r="E859" i="3"/>
  <c r="H859" i="3" s="1"/>
  <c r="K859" i="3" s="1"/>
  <c r="AE859" i="3" s="1"/>
  <c r="F859" i="3" l="1"/>
  <c r="I859" i="3"/>
  <c r="J859" i="3"/>
  <c r="AD859" i="3" s="1"/>
  <c r="M859" i="3"/>
  <c r="N859" i="3" s="1"/>
  <c r="V859" i="3"/>
  <c r="A860" i="3"/>
  <c r="B860" i="3" s="1"/>
  <c r="W859" i="3" l="1"/>
  <c r="AC860" i="3"/>
  <c r="Z860" i="3"/>
  <c r="AA860" i="3"/>
  <c r="P860" i="3"/>
  <c r="Q860" i="3" s="1"/>
  <c r="R860" i="3" s="1"/>
  <c r="S860" i="3" s="1"/>
  <c r="L859" i="3"/>
  <c r="T860" i="3" l="1"/>
  <c r="U859" i="3"/>
  <c r="Y858" i="3"/>
  <c r="D860" i="3" l="1"/>
  <c r="G860" i="3" s="1"/>
  <c r="AG860" i="3"/>
  <c r="AH860" i="3"/>
  <c r="E860" i="3"/>
  <c r="H860" i="3" s="1"/>
  <c r="I860" i="3" l="1"/>
  <c r="J860" i="3"/>
  <c r="AD860" i="3" s="1"/>
  <c r="M860" i="3"/>
  <c r="N860" i="3" s="1"/>
  <c r="K860" i="3"/>
  <c r="AE860" i="3" s="1"/>
  <c r="F860" i="3"/>
  <c r="L860" i="3" l="1"/>
  <c r="V860" i="3"/>
  <c r="W860" i="3" s="1"/>
  <c r="A861" i="3"/>
  <c r="B861" i="3" s="1"/>
  <c r="U860" i="3" l="1"/>
  <c r="Y859" i="3"/>
  <c r="Z861" i="3"/>
  <c r="P861" i="3"/>
  <c r="Q861" i="3" s="1"/>
  <c r="R861" i="3" s="1"/>
  <c r="S861" i="3" s="1"/>
  <c r="AC861" i="3"/>
  <c r="AA861" i="3"/>
  <c r="T861" i="3" l="1"/>
  <c r="E861" i="3" s="1"/>
  <c r="H861" i="3" s="1"/>
  <c r="K861" i="3" l="1"/>
  <c r="AE861" i="3" s="1"/>
  <c r="D861" i="3"/>
  <c r="AH861" i="3"/>
  <c r="AG861" i="3"/>
  <c r="F861" i="3" l="1"/>
  <c r="G861" i="3"/>
  <c r="V861" i="3"/>
  <c r="A862" i="3"/>
  <c r="B862" i="3" s="1"/>
  <c r="Z862" i="3" l="1"/>
  <c r="P862" i="3"/>
  <c r="Q862" i="3" s="1"/>
  <c r="R862" i="3" s="1"/>
  <c r="S862" i="3" s="1"/>
  <c r="AC862" i="3"/>
  <c r="AA862" i="3"/>
  <c r="I861" i="3"/>
  <c r="W861" i="3" s="1"/>
  <c r="J861" i="3"/>
  <c r="AD861" i="3" s="1"/>
  <c r="M861" i="3"/>
  <c r="N861" i="3" s="1"/>
  <c r="T862" i="3" l="1"/>
  <c r="L861" i="3"/>
  <c r="AH862" i="3" l="1"/>
  <c r="U861" i="3"/>
  <c r="D862" i="3" s="1"/>
  <c r="AG862" i="3"/>
  <c r="Y860" i="3"/>
  <c r="E862" i="3" l="1"/>
  <c r="H862" i="3" s="1"/>
  <c r="K862" i="3" s="1"/>
  <c r="AE862" i="3" s="1"/>
  <c r="G862" i="3"/>
  <c r="F862" i="3" l="1"/>
  <c r="I862" i="3"/>
  <c r="J862" i="3"/>
  <c r="AD862" i="3" s="1"/>
  <c r="M862" i="3"/>
  <c r="N862" i="3" s="1"/>
  <c r="V862" i="3"/>
  <c r="A863" i="3"/>
  <c r="B863" i="3" s="1"/>
  <c r="W862" i="3" l="1"/>
  <c r="L862" i="3"/>
  <c r="AA863" i="3"/>
  <c r="Z863" i="3"/>
  <c r="P863" i="3"/>
  <c r="Q863" i="3" s="1"/>
  <c r="R863" i="3" s="1"/>
  <c r="S863" i="3" s="1"/>
  <c r="AC863" i="3"/>
  <c r="T863" i="3" l="1"/>
  <c r="U862" i="3"/>
  <c r="Y861" i="3"/>
  <c r="E863" i="3" l="1"/>
  <c r="H863" i="3" s="1"/>
  <c r="K863" i="3" s="1"/>
  <c r="AE863" i="3" s="1"/>
  <c r="D863" i="3"/>
  <c r="G863" i="3" s="1"/>
  <c r="AH863" i="3"/>
  <c r="AG863" i="3"/>
  <c r="F863" i="3" l="1"/>
  <c r="I863" i="3"/>
  <c r="J863" i="3"/>
  <c r="AD863" i="3" s="1"/>
  <c r="M863" i="3"/>
  <c r="N863" i="3" s="1"/>
  <c r="V863" i="3"/>
  <c r="A864" i="3"/>
  <c r="B864" i="3" s="1"/>
  <c r="W863" i="3" l="1"/>
  <c r="L863" i="3"/>
  <c r="AC864" i="3"/>
  <c r="Z864" i="3"/>
  <c r="AA864" i="3"/>
  <c r="P864" i="3"/>
  <c r="Q864" i="3" s="1"/>
  <c r="R864" i="3" s="1"/>
  <c r="S864" i="3" s="1"/>
  <c r="U863" i="3" l="1"/>
  <c r="Y862" i="3"/>
  <c r="T864" i="3"/>
  <c r="AH864" i="3" s="1"/>
  <c r="E864" i="3" l="1"/>
  <c r="H864" i="3" s="1"/>
  <c r="D864" i="3"/>
  <c r="AG864" i="3"/>
  <c r="K864" i="3" l="1"/>
  <c r="AE864" i="3" s="1"/>
  <c r="F864" i="3"/>
  <c r="G864" i="3"/>
  <c r="I864" i="3" l="1"/>
  <c r="J864" i="3"/>
  <c r="AD864" i="3" s="1"/>
  <c r="M864" i="3"/>
  <c r="N864" i="3" s="1"/>
  <c r="V864" i="3"/>
  <c r="A865" i="3"/>
  <c r="B865" i="3" s="1"/>
  <c r="W864" i="3" l="1"/>
  <c r="L864" i="3"/>
  <c r="AD865" i="3"/>
  <c r="P865" i="3"/>
  <c r="Q865" i="3" s="1"/>
  <c r="R865" i="3" s="1"/>
  <c r="S865" i="3" s="1"/>
  <c r="AC865" i="3"/>
  <c r="Z865" i="3"/>
  <c r="AA865" i="3"/>
  <c r="U864" i="3" l="1"/>
  <c r="Y863" i="3"/>
  <c r="T865" i="3"/>
  <c r="AG865" i="3" s="1"/>
  <c r="E865" i="3" l="1"/>
  <c r="H865" i="3" s="1"/>
  <c r="K865" i="3" s="1"/>
  <c r="AE865" i="3" s="1"/>
  <c r="D865" i="3"/>
  <c r="G865" i="3" s="1"/>
  <c r="AH865" i="3"/>
  <c r="F865" i="3" l="1"/>
  <c r="V865" i="3"/>
  <c r="A866" i="3"/>
  <c r="B866" i="3" s="1"/>
  <c r="I865" i="3"/>
  <c r="J865" i="3"/>
  <c r="M865" i="3"/>
  <c r="N865" i="3" s="1"/>
  <c r="W865" i="3" l="1"/>
  <c r="L865" i="3"/>
  <c r="P866" i="3"/>
  <c r="Q866" i="3" s="1"/>
  <c r="R866" i="3" s="1"/>
  <c r="S866" i="3" s="1"/>
  <c r="AA866" i="3"/>
  <c r="Z866" i="3"/>
  <c r="AC866" i="3"/>
  <c r="AD866" i="3"/>
  <c r="T866" i="3" l="1"/>
  <c r="U865" i="3"/>
  <c r="Y864" i="3"/>
  <c r="D866" i="3" l="1"/>
  <c r="G866" i="3" s="1"/>
  <c r="AG866" i="3"/>
  <c r="AH866" i="3"/>
  <c r="E866" i="3"/>
  <c r="H866" i="3" s="1"/>
  <c r="F866" i="3" l="1"/>
  <c r="K866" i="3"/>
  <c r="AE866" i="3" s="1"/>
  <c r="I866" i="3"/>
  <c r="J866" i="3"/>
  <c r="M866" i="3"/>
  <c r="N866" i="3" s="1"/>
  <c r="L866" i="3" l="1"/>
  <c r="V866" i="3"/>
  <c r="W866" i="3" s="1"/>
  <c r="A867" i="3"/>
  <c r="B867" i="3" s="1"/>
  <c r="Z867" i="3" l="1"/>
  <c r="AA867" i="3"/>
  <c r="P867" i="3"/>
  <c r="Q867" i="3" s="1"/>
  <c r="R867" i="3" s="1"/>
  <c r="S867" i="3" s="1"/>
  <c r="AC867" i="3"/>
  <c r="U866" i="3"/>
  <c r="Y865" i="3"/>
  <c r="T867" i="3" l="1"/>
  <c r="D867" i="3" s="1"/>
  <c r="AG867" i="3" l="1"/>
  <c r="E867" i="3"/>
  <c r="H867" i="3" s="1"/>
  <c r="K867" i="3" s="1"/>
  <c r="AE867" i="3" s="1"/>
  <c r="AH867" i="3"/>
  <c r="G867" i="3"/>
  <c r="F867" i="3" l="1"/>
  <c r="I867" i="3"/>
  <c r="J867" i="3"/>
  <c r="AD867" i="3" s="1"/>
  <c r="M867" i="3"/>
  <c r="N867" i="3" s="1"/>
  <c r="V867" i="3"/>
  <c r="A868" i="3"/>
  <c r="B868" i="3" s="1"/>
  <c r="W867" i="3" l="1"/>
  <c r="L867" i="3"/>
  <c r="AD868" i="3"/>
  <c r="Z868" i="3"/>
  <c r="AA868" i="3"/>
  <c r="AC868" i="3"/>
  <c r="P868" i="3"/>
  <c r="Q868" i="3" s="1"/>
  <c r="R868" i="3" s="1"/>
  <c r="S868" i="3" s="1"/>
  <c r="T868" i="3" l="1"/>
  <c r="U867" i="3"/>
  <c r="Y866" i="3"/>
  <c r="E868" i="3" l="1"/>
  <c r="H868" i="3" s="1"/>
  <c r="K868" i="3" s="1"/>
  <c r="AE868" i="3" s="1"/>
  <c r="AH868" i="3"/>
  <c r="D868" i="3"/>
  <c r="G868" i="3" s="1"/>
  <c r="AG868" i="3"/>
  <c r="F868" i="3" l="1"/>
  <c r="I868" i="3"/>
  <c r="J868" i="3"/>
  <c r="M868" i="3"/>
  <c r="N868" i="3" s="1"/>
  <c r="V868" i="3"/>
  <c r="A869" i="3"/>
  <c r="B869" i="3" s="1"/>
  <c r="W868" i="3" l="1"/>
  <c r="L868" i="3"/>
  <c r="P869" i="3"/>
  <c r="Q869" i="3" s="1"/>
  <c r="R869" i="3" s="1"/>
  <c r="S869" i="3" s="1"/>
  <c r="Z869" i="3"/>
  <c r="AC869" i="3"/>
  <c r="AA869" i="3"/>
  <c r="AD869" i="3"/>
  <c r="T869" i="3" l="1"/>
  <c r="U868" i="3"/>
  <c r="Y867" i="3"/>
  <c r="E869" i="3" l="1"/>
  <c r="H869" i="3" s="1"/>
  <c r="K869" i="3" s="1"/>
  <c r="AE869" i="3" s="1"/>
  <c r="AG869" i="3"/>
  <c r="D869" i="3"/>
  <c r="AH869" i="3"/>
  <c r="V869" i="3" l="1"/>
  <c r="A870" i="3"/>
  <c r="B870" i="3" s="1"/>
  <c r="F869" i="3"/>
  <c r="G869" i="3"/>
  <c r="I869" i="3" l="1"/>
  <c r="W869" i="3" s="1"/>
  <c r="J869" i="3"/>
  <c r="M869" i="3"/>
  <c r="N869" i="3" s="1"/>
  <c r="AD870" i="3"/>
  <c r="Z870" i="3"/>
  <c r="AA870" i="3"/>
  <c r="P870" i="3"/>
  <c r="Q870" i="3" s="1"/>
  <c r="R870" i="3" s="1"/>
  <c r="S870" i="3" s="1"/>
  <c r="AC870" i="3"/>
  <c r="L869" i="3" l="1"/>
  <c r="T870" i="3"/>
  <c r="U869" i="3" l="1"/>
  <c r="E870" i="3" s="1"/>
  <c r="H870" i="3" s="1"/>
  <c r="AH870" i="3"/>
  <c r="AG870" i="3"/>
  <c r="Y868" i="3"/>
  <c r="D870" i="3" l="1"/>
  <c r="G870" i="3" s="1"/>
  <c r="K870" i="3"/>
  <c r="AE870" i="3" s="1"/>
  <c r="F870" i="3" l="1"/>
  <c r="V870" i="3"/>
  <c r="A871" i="3"/>
  <c r="B871" i="3" s="1"/>
  <c r="I870" i="3"/>
  <c r="J870" i="3"/>
  <c r="M870" i="3"/>
  <c r="N870" i="3" s="1"/>
  <c r="W870" i="3" l="1"/>
  <c r="L870" i="3"/>
  <c r="Z871" i="3"/>
  <c r="P871" i="3"/>
  <c r="Q871" i="3" s="1"/>
  <c r="R871" i="3" s="1"/>
  <c r="S871" i="3" s="1"/>
  <c r="AD871" i="3"/>
  <c r="AA871" i="3"/>
  <c r="AC871" i="3"/>
  <c r="T871" i="3" l="1"/>
  <c r="AH871" i="3" s="1"/>
  <c r="U870" i="3"/>
  <c r="Y869" i="3"/>
  <c r="E871" i="3" l="1"/>
  <c r="H871" i="3" s="1"/>
  <c r="K871" i="3" s="1"/>
  <c r="AE871" i="3" s="1"/>
  <c r="AG871" i="3"/>
  <c r="D871" i="3"/>
  <c r="F871" i="3" l="1"/>
  <c r="G871" i="3"/>
  <c r="V871" i="3"/>
  <c r="A872" i="3"/>
  <c r="B872" i="3" s="1"/>
  <c r="AC872" i="3" l="1"/>
  <c r="AA872" i="3"/>
  <c r="P872" i="3"/>
  <c r="Q872" i="3" s="1"/>
  <c r="R872" i="3" s="1"/>
  <c r="S872" i="3" s="1"/>
  <c r="Z872" i="3"/>
  <c r="AD872" i="3"/>
  <c r="I871" i="3"/>
  <c r="W871" i="3" s="1"/>
  <c r="J871" i="3"/>
  <c r="M871" i="3"/>
  <c r="N871" i="3" s="1"/>
  <c r="L871" i="3" l="1"/>
  <c r="T872" i="3"/>
  <c r="AG872" i="3" l="1"/>
  <c r="AH872" i="3"/>
  <c r="U871" i="3"/>
  <c r="E872" i="3" s="1"/>
  <c r="H872" i="3" s="1"/>
  <c r="Y870" i="3"/>
  <c r="D872" i="3" l="1"/>
  <c r="G872" i="3" s="1"/>
  <c r="K872" i="3"/>
  <c r="AE872" i="3" s="1"/>
  <c r="F872" i="3" l="1"/>
  <c r="I872" i="3"/>
  <c r="J872" i="3"/>
  <c r="M872" i="3"/>
  <c r="N872" i="3" s="1"/>
  <c r="V872" i="3"/>
  <c r="A873" i="3"/>
  <c r="B873" i="3" s="1"/>
  <c r="W872" i="3" l="1"/>
  <c r="L872" i="3"/>
  <c r="AA873" i="3"/>
  <c r="AC873" i="3"/>
  <c r="AD873" i="3"/>
  <c r="P873" i="3"/>
  <c r="Q873" i="3" s="1"/>
  <c r="R873" i="3" s="1"/>
  <c r="S873" i="3" s="1"/>
  <c r="Z873" i="3"/>
  <c r="T873" i="3" l="1"/>
  <c r="AH873" i="3" s="1"/>
  <c r="U872" i="3"/>
  <c r="Y871" i="3"/>
  <c r="AG873" i="3" l="1"/>
  <c r="E873" i="3"/>
  <c r="H873" i="3" s="1"/>
  <c r="D873" i="3"/>
  <c r="K873" i="3" l="1"/>
  <c r="AE873" i="3" s="1"/>
  <c r="F873" i="3"/>
  <c r="G873" i="3"/>
  <c r="I873" i="3" l="1"/>
  <c r="J873" i="3"/>
  <c r="M873" i="3"/>
  <c r="N873" i="3" s="1"/>
  <c r="V873" i="3"/>
  <c r="A874" i="3"/>
  <c r="B874" i="3" s="1"/>
  <c r="W873" i="3" l="1"/>
  <c r="L873" i="3"/>
  <c r="AA874" i="3"/>
  <c r="P874" i="3"/>
  <c r="Q874" i="3" s="1"/>
  <c r="R874" i="3" s="1"/>
  <c r="S874" i="3" s="1"/>
  <c r="Z874" i="3"/>
  <c r="AC874" i="3"/>
  <c r="T874" i="3" l="1"/>
  <c r="AH874" i="3" s="1"/>
  <c r="U873" i="3"/>
  <c r="Y872" i="3"/>
  <c r="E874" i="3" l="1"/>
  <c r="H874" i="3" s="1"/>
  <c r="D874" i="3"/>
  <c r="AG874" i="3"/>
  <c r="K874" i="3" l="1"/>
  <c r="AE874" i="3" s="1"/>
  <c r="F874" i="3"/>
  <c r="G874" i="3"/>
  <c r="I874" i="3" l="1"/>
  <c r="J874" i="3"/>
  <c r="AD874" i="3" s="1"/>
  <c r="M874" i="3"/>
  <c r="N874" i="3" s="1"/>
  <c r="V874" i="3"/>
  <c r="A875" i="3"/>
  <c r="B875" i="3" s="1"/>
  <c r="W874" i="3" l="1"/>
  <c r="L874" i="3"/>
  <c r="AA875" i="3"/>
  <c r="Z875" i="3"/>
  <c r="P875" i="3"/>
  <c r="Q875" i="3" s="1"/>
  <c r="R875" i="3" s="1"/>
  <c r="S875" i="3" s="1"/>
  <c r="AD875" i="3"/>
  <c r="AC875" i="3"/>
  <c r="T875" i="3" l="1"/>
  <c r="U874" i="3"/>
  <c r="Y873" i="3"/>
  <c r="D875" i="3" l="1"/>
  <c r="G875" i="3" s="1"/>
  <c r="E875" i="3"/>
  <c r="H875" i="3" s="1"/>
  <c r="K875" i="3" s="1"/>
  <c r="AE875" i="3" s="1"/>
  <c r="AH875" i="3"/>
  <c r="AG875" i="3"/>
  <c r="F875" i="3" l="1"/>
  <c r="V875" i="3"/>
  <c r="A876" i="3"/>
  <c r="B876" i="3" s="1"/>
  <c r="I875" i="3"/>
  <c r="J875" i="3"/>
  <c r="M875" i="3"/>
  <c r="N875" i="3" s="1"/>
  <c r="W875" i="3" l="1"/>
  <c r="L875" i="3"/>
  <c r="AC876" i="3"/>
  <c r="P876" i="3"/>
  <c r="Q876" i="3" s="1"/>
  <c r="R876" i="3" s="1"/>
  <c r="S876" i="3" s="1"/>
  <c r="Z876" i="3"/>
  <c r="AA876" i="3"/>
  <c r="AD876" i="3"/>
  <c r="U875" i="3" l="1"/>
  <c r="Y874" i="3"/>
  <c r="T876" i="3"/>
  <c r="AG876" i="3" s="1"/>
  <c r="D876" i="3" l="1"/>
  <c r="E876" i="3"/>
  <c r="H876" i="3" s="1"/>
  <c r="AH876" i="3"/>
  <c r="K876" i="3" l="1"/>
  <c r="AE876" i="3" s="1"/>
  <c r="F876" i="3"/>
  <c r="G876" i="3"/>
  <c r="I876" i="3" l="1"/>
  <c r="J876" i="3"/>
  <c r="M876" i="3"/>
  <c r="N876" i="3" s="1"/>
  <c r="V876" i="3"/>
  <c r="A877" i="3"/>
  <c r="B877" i="3" s="1"/>
  <c r="W876" i="3" l="1"/>
  <c r="L876" i="3"/>
  <c r="P877" i="3"/>
  <c r="Q877" i="3" s="1"/>
  <c r="R877" i="3" s="1"/>
  <c r="S877" i="3" s="1"/>
  <c r="AA877" i="3"/>
  <c r="Z877" i="3"/>
  <c r="AC877" i="3"/>
  <c r="U876" i="3" l="1"/>
  <c r="Y875" i="3"/>
  <c r="T877" i="3"/>
  <c r="D877" i="3" l="1"/>
  <c r="G877" i="3" s="1"/>
  <c r="AH877" i="3"/>
  <c r="AG877" i="3"/>
  <c r="E877" i="3"/>
  <c r="H877" i="3" s="1"/>
  <c r="I877" i="3" l="1"/>
  <c r="J877" i="3"/>
  <c r="AD877" i="3" s="1"/>
  <c r="M877" i="3"/>
  <c r="N877" i="3" s="1"/>
  <c r="K877" i="3"/>
  <c r="AE877" i="3" s="1"/>
  <c r="F877" i="3"/>
  <c r="V877" i="3" l="1"/>
  <c r="W877" i="3" s="1"/>
  <c r="A878" i="3"/>
  <c r="B878" i="3" s="1"/>
  <c r="L877" i="3"/>
  <c r="U877" i="3" l="1"/>
  <c r="Y876" i="3"/>
  <c r="Z878" i="3"/>
  <c r="AD878" i="3"/>
  <c r="AC878" i="3"/>
  <c r="AA878" i="3"/>
  <c r="P878" i="3"/>
  <c r="Q878" i="3" s="1"/>
  <c r="R878" i="3" s="1"/>
  <c r="S878" i="3" s="1"/>
  <c r="T878" i="3" l="1"/>
  <c r="E878" i="3" s="1"/>
  <c r="H878" i="3" s="1"/>
  <c r="D878" i="3" l="1"/>
  <c r="G878" i="3" s="1"/>
  <c r="AG878" i="3"/>
  <c r="AH878" i="3"/>
  <c r="K878" i="3"/>
  <c r="AE878" i="3" s="1"/>
  <c r="F878" i="3" l="1"/>
  <c r="I878" i="3"/>
  <c r="J878" i="3"/>
  <c r="M878" i="3"/>
  <c r="N878" i="3" s="1"/>
  <c r="V878" i="3"/>
  <c r="A879" i="3"/>
  <c r="B879" i="3" s="1"/>
  <c r="W878" i="3" l="1"/>
  <c r="L878" i="3"/>
  <c r="AC879" i="3"/>
  <c r="AD879" i="3"/>
  <c r="P879" i="3"/>
  <c r="Q879" i="3" s="1"/>
  <c r="R879" i="3" s="1"/>
  <c r="S879" i="3" s="1"/>
  <c r="AA879" i="3"/>
  <c r="Z879" i="3"/>
  <c r="T879" i="3" l="1"/>
  <c r="AG879" i="3" s="1"/>
  <c r="U878" i="3"/>
  <c r="Y877" i="3"/>
  <c r="E879" i="3" l="1"/>
  <c r="H879" i="3" s="1"/>
  <c r="D879" i="3"/>
  <c r="AH879" i="3"/>
  <c r="F879" i="3" l="1"/>
  <c r="G879" i="3"/>
  <c r="K879" i="3"/>
  <c r="AE879" i="3" s="1"/>
  <c r="I879" i="3" l="1"/>
  <c r="J879" i="3"/>
  <c r="M879" i="3"/>
  <c r="N879" i="3" s="1"/>
  <c r="V879" i="3"/>
  <c r="A880" i="3"/>
  <c r="B880" i="3" s="1"/>
  <c r="W879" i="3" l="1"/>
  <c r="L879" i="3"/>
  <c r="AD880" i="3"/>
  <c r="AA880" i="3"/>
  <c r="AC880" i="3"/>
  <c r="Z880" i="3"/>
  <c r="P880" i="3"/>
  <c r="Q880" i="3" s="1"/>
  <c r="R880" i="3" s="1"/>
  <c r="S880" i="3" s="1"/>
  <c r="T880" i="3" l="1"/>
  <c r="AG880" i="3" s="1"/>
  <c r="U879" i="3"/>
  <c r="Y878" i="3"/>
  <c r="D880" i="3" l="1"/>
  <c r="AH880" i="3"/>
  <c r="E880" i="3"/>
  <c r="H880" i="3" s="1"/>
  <c r="F880" i="3" l="1"/>
  <c r="G880" i="3"/>
  <c r="K880" i="3"/>
  <c r="AE880" i="3" s="1"/>
  <c r="V880" i="3" l="1"/>
  <c r="A881" i="3"/>
  <c r="B881" i="3" s="1"/>
  <c r="I880" i="3"/>
  <c r="J880" i="3"/>
  <c r="M880" i="3"/>
  <c r="N880" i="3" s="1"/>
  <c r="W880" i="3" l="1"/>
  <c r="L880" i="3"/>
  <c r="AA881" i="3"/>
  <c r="AD881" i="3"/>
  <c r="P881" i="3"/>
  <c r="Q881" i="3" s="1"/>
  <c r="R881" i="3" s="1"/>
  <c r="S881" i="3" s="1"/>
  <c r="Z881" i="3"/>
  <c r="AC881" i="3"/>
  <c r="U880" i="3" l="1"/>
  <c r="Y879" i="3"/>
  <c r="T881" i="3"/>
  <c r="E881" i="3" l="1"/>
  <c r="H881" i="3" s="1"/>
  <c r="K881" i="3" s="1"/>
  <c r="AE881" i="3" s="1"/>
  <c r="D881" i="3"/>
  <c r="AG881" i="3"/>
  <c r="AH881" i="3"/>
  <c r="F881" i="3" l="1"/>
  <c r="G881" i="3"/>
  <c r="I881" i="3" s="1"/>
  <c r="V881" i="3"/>
  <c r="A882" i="3"/>
  <c r="B882" i="3" s="1"/>
  <c r="W881" i="3" l="1"/>
  <c r="M881" i="3"/>
  <c r="N881" i="3" s="1"/>
  <c r="J881" i="3"/>
  <c r="L881" i="3" s="1"/>
  <c r="Z882" i="3"/>
  <c r="P882" i="3"/>
  <c r="Q882" i="3" s="1"/>
  <c r="R882" i="3" s="1"/>
  <c r="S882" i="3" s="1"/>
  <c r="AD882" i="3"/>
  <c r="AC882" i="3"/>
  <c r="AA882" i="3"/>
  <c r="T882" i="3" l="1"/>
  <c r="AG882" i="3" s="1"/>
  <c r="U881" i="3"/>
  <c r="Y880" i="3"/>
  <c r="AH882" i="3" l="1"/>
  <c r="D882" i="3"/>
  <c r="E882" i="3"/>
  <c r="H882" i="3" s="1"/>
  <c r="F882" i="3" l="1"/>
  <c r="G882" i="3"/>
  <c r="K882" i="3"/>
  <c r="AE882" i="3" s="1"/>
  <c r="I882" i="3" l="1"/>
  <c r="J882" i="3"/>
  <c r="M882" i="3"/>
  <c r="N882" i="3" s="1"/>
  <c r="V882" i="3"/>
  <c r="A883" i="3"/>
  <c r="B883" i="3" s="1"/>
  <c r="W882" i="3" l="1"/>
  <c r="L882" i="3"/>
  <c r="AC883" i="3"/>
  <c r="AA883" i="3"/>
  <c r="Z883" i="3"/>
  <c r="AD883" i="3"/>
  <c r="P883" i="3"/>
  <c r="Q883" i="3" s="1"/>
  <c r="R883" i="3" s="1"/>
  <c r="S883" i="3" s="1"/>
  <c r="T883" i="3" l="1"/>
  <c r="AG883" i="3" s="1"/>
  <c r="U882" i="3"/>
  <c r="Y881" i="3"/>
  <c r="E883" i="3" l="1"/>
  <c r="H883" i="3" s="1"/>
  <c r="K883" i="3" s="1"/>
  <c r="AE883" i="3" s="1"/>
  <c r="D883" i="3"/>
  <c r="AH883" i="3"/>
  <c r="V883" i="3" l="1"/>
  <c r="A884" i="3"/>
  <c r="B884" i="3" s="1"/>
  <c r="F883" i="3"/>
  <c r="G883" i="3"/>
  <c r="I883" i="3" l="1"/>
  <c r="W883" i="3" s="1"/>
  <c r="J883" i="3"/>
  <c r="M883" i="3"/>
  <c r="N883" i="3" s="1"/>
  <c r="AA884" i="3"/>
  <c r="Z884" i="3"/>
  <c r="P884" i="3"/>
  <c r="Q884" i="3" s="1"/>
  <c r="R884" i="3" s="1"/>
  <c r="S884" i="3" s="1"/>
  <c r="AC884" i="3"/>
  <c r="T884" i="3" l="1"/>
  <c r="L883" i="3"/>
  <c r="AG884" i="3" l="1"/>
  <c r="U883" i="3"/>
  <c r="D884" i="3" s="1"/>
  <c r="AH884" i="3"/>
  <c r="Y882" i="3"/>
  <c r="E884" i="3" l="1"/>
  <c r="H884" i="3" s="1"/>
  <c r="K884" i="3" s="1"/>
  <c r="AE884" i="3" s="1"/>
  <c r="G884" i="3"/>
  <c r="F884" i="3" l="1"/>
  <c r="V884" i="3"/>
  <c r="A885" i="3"/>
  <c r="B885" i="3" s="1"/>
  <c r="I884" i="3"/>
  <c r="J884" i="3"/>
  <c r="AD884" i="3" s="1"/>
  <c r="M884" i="3"/>
  <c r="N884" i="3" s="1"/>
  <c r="W884" i="3" l="1"/>
  <c r="L884" i="3"/>
  <c r="P885" i="3"/>
  <c r="Q885" i="3" s="1"/>
  <c r="R885" i="3" s="1"/>
  <c r="S885" i="3" s="1"/>
  <c r="AD885" i="3"/>
  <c r="Z885" i="3"/>
  <c r="AC885" i="3"/>
  <c r="AA885" i="3"/>
  <c r="U884" i="3" l="1"/>
  <c r="Y883" i="3"/>
  <c r="T885" i="3"/>
  <c r="AH885" i="3" s="1"/>
  <c r="D885" i="3" l="1"/>
  <c r="G885" i="3" s="1"/>
  <c r="E885" i="3"/>
  <c r="H885" i="3" s="1"/>
  <c r="K885" i="3" s="1"/>
  <c r="AE885" i="3" s="1"/>
  <c r="AG885" i="3"/>
  <c r="F885" i="3" l="1"/>
  <c r="V885" i="3"/>
  <c r="A886" i="3"/>
  <c r="B886" i="3" s="1"/>
  <c r="I885" i="3"/>
  <c r="J885" i="3"/>
  <c r="M885" i="3"/>
  <c r="N885" i="3" s="1"/>
  <c r="W885" i="3" l="1"/>
  <c r="L885" i="3"/>
  <c r="P886" i="3"/>
  <c r="Q886" i="3" s="1"/>
  <c r="R886" i="3" s="1"/>
  <c r="S886" i="3" s="1"/>
  <c r="AA886" i="3"/>
  <c r="AC886" i="3"/>
  <c r="AD886" i="3"/>
  <c r="Z886" i="3"/>
  <c r="U885" i="3" l="1"/>
  <c r="Y884" i="3"/>
  <c r="T886" i="3"/>
  <c r="E886" i="3" l="1"/>
  <c r="H886" i="3" s="1"/>
  <c r="K886" i="3" s="1"/>
  <c r="AE886" i="3" s="1"/>
  <c r="AH886" i="3"/>
  <c r="AG886" i="3"/>
  <c r="D886" i="3"/>
  <c r="F886" i="3" l="1"/>
  <c r="G886" i="3"/>
  <c r="V886" i="3"/>
  <c r="A887" i="3"/>
  <c r="B887" i="3" s="1"/>
  <c r="I886" i="3" l="1"/>
  <c r="W886" i="3" s="1"/>
  <c r="J886" i="3"/>
  <c r="M886" i="3"/>
  <c r="N886" i="3" s="1"/>
  <c r="P887" i="3"/>
  <c r="Q887" i="3" s="1"/>
  <c r="R887" i="3" s="1"/>
  <c r="S887" i="3" s="1"/>
  <c r="Z887" i="3"/>
  <c r="AA887" i="3"/>
  <c r="AC887" i="3"/>
  <c r="T887" i="3" l="1"/>
  <c r="L886" i="3"/>
  <c r="AG887" i="3" l="1"/>
  <c r="AH887" i="3"/>
  <c r="U886" i="3"/>
  <c r="D887" i="3" s="1"/>
  <c r="Y885" i="3"/>
  <c r="E887" i="3" l="1"/>
  <c r="H887" i="3" s="1"/>
  <c r="K887" i="3" s="1"/>
  <c r="AE887" i="3" s="1"/>
  <c r="G887" i="3"/>
  <c r="F887" i="3" l="1"/>
  <c r="I887" i="3"/>
  <c r="J887" i="3"/>
  <c r="AD887" i="3" s="1"/>
  <c r="M887" i="3"/>
  <c r="N887" i="3" s="1"/>
  <c r="V887" i="3"/>
  <c r="A888" i="3"/>
  <c r="B888" i="3" s="1"/>
  <c r="W887" i="3" l="1"/>
  <c r="L887" i="3"/>
  <c r="AC888" i="3"/>
  <c r="AD888" i="3"/>
  <c r="AA888" i="3"/>
  <c r="Z888" i="3"/>
  <c r="P888" i="3"/>
  <c r="Q888" i="3" s="1"/>
  <c r="R888" i="3" s="1"/>
  <c r="S888" i="3" s="1"/>
  <c r="T888" i="3" l="1"/>
  <c r="U887" i="3"/>
  <c r="Y886" i="3"/>
  <c r="E888" i="3" l="1"/>
  <c r="H888" i="3" s="1"/>
  <c r="K888" i="3" s="1"/>
  <c r="AE888" i="3" s="1"/>
  <c r="D888" i="3"/>
  <c r="G888" i="3" s="1"/>
  <c r="AG888" i="3"/>
  <c r="AH888" i="3"/>
  <c r="F888" i="3" l="1"/>
  <c r="I888" i="3"/>
  <c r="J888" i="3"/>
  <c r="M888" i="3"/>
  <c r="N888" i="3" s="1"/>
  <c r="V888" i="3"/>
  <c r="A889" i="3"/>
  <c r="B889" i="3" s="1"/>
  <c r="W888" i="3" l="1"/>
  <c r="L888" i="3"/>
  <c r="AA889" i="3"/>
  <c r="Z889" i="3"/>
  <c r="AD889" i="3"/>
  <c r="P889" i="3"/>
  <c r="Q889" i="3" s="1"/>
  <c r="R889" i="3" s="1"/>
  <c r="S889" i="3" s="1"/>
  <c r="AC889" i="3"/>
  <c r="T889" i="3" l="1"/>
  <c r="AG889" i="3" s="1"/>
  <c r="U888" i="3"/>
  <c r="Y887" i="3"/>
  <c r="AH889" i="3" l="1"/>
  <c r="D889" i="3"/>
  <c r="G889" i="3" s="1"/>
  <c r="E889" i="3"/>
  <c r="H889" i="3" s="1"/>
  <c r="I889" i="3" l="1"/>
  <c r="J889" i="3"/>
  <c r="M889" i="3"/>
  <c r="N889" i="3" s="1"/>
  <c r="K889" i="3"/>
  <c r="AE889" i="3" s="1"/>
  <c r="F889" i="3"/>
  <c r="L889" i="3" l="1"/>
  <c r="V889" i="3"/>
  <c r="W889" i="3" s="1"/>
  <c r="A890" i="3"/>
  <c r="B890" i="3" s="1"/>
  <c r="AA890" i="3" l="1"/>
  <c r="P890" i="3"/>
  <c r="Q890" i="3" s="1"/>
  <c r="R890" i="3" s="1"/>
  <c r="S890" i="3" s="1"/>
  <c r="Z890" i="3"/>
  <c r="AC890" i="3"/>
  <c r="AD890" i="3"/>
  <c r="U889" i="3"/>
  <c r="Y888" i="3"/>
  <c r="T890" i="3" l="1"/>
  <c r="AG890" i="3" s="1"/>
  <c r="E890" i="3" l="1"/>
  <c r="H890" i="3" s="1"/>
  <c r="K890" i="3" s="1"/>
  <c r="AE890" i="3" s="1"/>
  <c r="AH890" i="3"/>
  <c r="D890" i="3"/>
  <c r="F890" i="3" l="1"/>
  <c r="G890" i="3"/>
  <c r="V890" i="3"/>
  <c r="A891" i="3"/>
  <c r="B891" i="3" s="1"/>
  <c r="AD891" i="3" l="1"/>
  <c r="P891" i="3"/>
  <c r="Q891" i="3" s="1"/>
  <c r="R891" i="3" s="1"/>
  <c r="S891" i="3" s="1"/>
  <c r="AC891" i="3"/>
  <c r="Z891" i="3"/>
  <c r="AA891" i="3"/>
  <c r="I890" i="3"/>
  <c r="W890" i="3" s="1"/>
  <c r="J890" i="3"/>
  <c r="M890" i="3"/>
  <c r="N890" i="3" s="1"/>
  <c r="L890" i="3" l="1"/>
  <c r="T891" i="3"/>
  <c r="U890" i="3" l="1"/>
  <c r="D891" i="3" s="1"/>
  <c r="AH891" i="3"/>
  <c r="AG891" i="3"/>
  <c r="Y889" i="3"/>
  <c r="E891" i="3" l="1"/>
  <c r="H891" i="3" s="1"/>
  <c r="K891" i="3" s="1"/>
  <c r="AE891" i="3" s="1"/>
  <c r="G891" i="3"/>
  <c r="F891" i="3" l="1"/>
  <c r="I891" i="3"/>
  <c r="J891" i="3"/>
  <c r="M891" i="3"/>
  <c r="N891" i="3" s="1"/>
  <c r="V891" i="3"/>
  <c r="A892" i="3"/>
  <c r="B892" i="3" s="1"/>
  <c r="W891" i="3" l="1"/>
  <c r="L891" i="3"/>
  <c r="P892" i="3"/>
  <c r="Q892" i="3" s="1"/>
  <c r="R892" i="3" s="1"/>
  <c r="S892" i="3" s="1"/>
  <c r="AC892" i="3"/>
  <c r="AD892" i="3"/>
  <c r="Z892" i="3"/>
  <c r="AA892" i="3"/>
  <c r="U891" i="3" l="1"/>
  <c r="Y890" i="3"/>
  <c r="T892" i="3"/>
  <c r="AG892" i="3" s="1"/>
  <c r="AH892" i="3" l="1"/>
  <c r="D892" i="3"/>
  <c r="G892" i="3" s="1"/>
  <c r="E892" i="3"/>
  <c r="H892" i="3" s="1"/>
  <c r="F892" i="3" l="1"/>
  <c r="I892" i="3"/>
  <c r="J892" i="3"/>
  <c r="M892" i="3"/>
  <c r="N892" i="3" s="1"/>
  <c r="K892" i="3"/>
  <c r="AE892" i="3" s="1"/>
  <c r="V892" i="3" l="1"/>
  <c r="W892" i="3" s="1"/>
  <c r="A893" i="3"/>
  <c r="B893" i="3" s="1"/>
  <c r="L892" i="3"/>
  <c r="U892" i="3" l="1"/>
  <c r="Y891" i="3"/>
  <c r="AC893" i="3"/>
  <c r="P893" i="3"/>
  <c r="Q893" i="3" s="1"/>
  <c r="R893" i="3" s="1"/>
  <c r="S893" i="3" s="1"/>
  <c r="AD893" i="3"/>
  <c r="AA893" i="3"/>
  <c r="Z893" i="3"/>
  <c r="T893" i="3" l="1"/>
  <c r="E893" i="3" s="1"/>
  <c r="H893" i="3" s="1"/>
  <c r="AH893" i="3" l="1"/>
  <c r="D893" i="3"/>
  <c r="F893" i="3" s="1"/>
  <c r="AG893" i="3"/>
  <c r="K893" i="3"/>
  <c r="AE893" i="3" s="1"/>
  <c r="G893" i="3" l="1"/>
  <c r="M893" i="3" s="1"/>
  <c r="N893" i="3" s="1"/>
  <c r="V893" i="3"/>
  <c r="A894" i="3"/>
  <c r="B894" i="3" s="1"/>
  <c r="I893" i="3" l="1"/>
  <c r="W893" i="3" s="1"/>
  <c r="J893" i="3"/>
  <c r="L893" i="3" s="1"/>
  <c r="Z894" i="3"/>
  <c r="P894" i="3"/>
  <c r="Q894" i="3" s="1"/>
  <c r="R894" i="3" s="1"/>
  <c r="S894" i="3" s="1"/>
  <c r="AC894" i="3"/>
  <c r="AA894" i="3"/>
  <c r="U893" i="3" l="1"/>
  <c r="Y892" i="3"/>
  <c r="T894" i="3"/>
  <c r="AH894" i="3" s="1"/>
  <c r="D894" i="3" l="1"/>
  <c r="G894" i="3" s="1"/>
  <c r="AG894" i="3"/>
  <c r="E894" i="3"/>
  <c r="H894" i="3" s="1"/>
  <c r="F894" i="3" l="1"/>
  <c r="I894" i="3"/>
  <c r="J894" i="3"/>
  <c r="AD894" i="3" s="1"/>
  <c r="M894" i="3"/>
  <c r="N894" i="3" s="1"/>
  <c r="K894" i="3"/>
  <c r="AE894" i="3" s="1"/>
  <c r="V894" i="3" l="1"/>
  <c r="W894" i="3" s="1"/>
  <c r="A895" i="3"/>
  <c r="B895" i="3" s="1"/>
  <c r="L894" i="3"/>
  <c r="U894" i="3" l="1"/>
  <c r="Y893" i="3"/>
  <c r="AD895" i="3"/>
  <c r="P895" i="3"/>
  <c r="Q895" i="3" s="1"/>
  <c r="R895" i="3" s="1"/>
  <c r="S895" i="3" s="1"/>
  <c r="AA895" i="3"/>
  <c r="AC895" i="3"/>
  <c r="Z895" i="3"/>
  <c r="T895" i="3" l="1"/>
  <c r="AH895" i="3" s="1"/>
  <c r="E895" i="3" l="1"/>
  <c r="H895" i="3" s="1"/>
  <c r="K895" i="3" s="1"/>
  <c r="AE895" i="3" s="1"/>
  <c r="D895" i="3"/>
  <c r="AG895" i="3"/>
  <c r="F895" i="3" l="1"/>
  <c r="G895" i="3"/>
  <c r="V895" i="3"/>
  <c r="A896" i="3"/>
  <c r="B896" i="3" s="1"/>
  <c r="I895" i="3" l="1"/>
  <c r="W895" i="3" s="1"/>
  <c r="J895" i="3"/>
  <c r="M895" i="3"/>
  <c r="N895" i="3" s="1"/>
  <c r="Z896" i="3"/>
  <c r="P896" i="3"/>
  <c r="Q896" i="3" s="1"/>
  <c r="R896" i="3" s="1"/>
  <c r="S896" i="3" s="1"/>
  <c r="AC896" i="3"/>
  <c r="AD896" i="3"/>
  <c r="AA896" i="3"/>
  <c r="T896" i="3" l="1"/>
  <c r="L895" i="3"/>
  <c r="AG896" i="3" l="1"/>
  <c r="AH896" i="3"/>
  <c r="U895" i="3"/>
  <c r="E896" i="3" s="1"/>
  <c r="H896" i="3" s="1"/>
  <c r="Y894" i="3"/>
  <c r="D896" i="3" l="1"/>
  <c r="G896" i="3" s="1"/>
  <c r="K896" i="3"/>
  <c r="AE896" i="3" s="1"/>
  <c r="F896" i="3" l="1"/>
  <c r="V896" i="3"/>
  <c r="A897" i="3"/>
  <c r="B897" i="3" s="1"/>
  <c r="I896" i="3"/>
  <c r="J896" i="3"/>
  <c r="M896" i="3"/>
  <c r="N896" i="3" s="1"/>
  <c r="W896" i="3" l="1"/>
  <c r="L896" i="3"/>
  <c r="Z897" i="3"/>
  <c r="AC897" i="3"/>
  <c r="AA897" i="3"/>
  <c r="P897" i="3"/>
  <c r="Q897" i="3" s="1"/>
  <c r="R897" i="3" s="1"/>
  <c r="S897" i="3" s="1"/>
  <c r="U896" i="3" l="1"/>
  <c r="Y895" i="3"/>
  <c r="T897" i="3"/>
  <c r="D897" i="3" l="1"/>
  <c r="E897" i="3"/>
  <c r="H897" i="3" s="1"/>
  <c r="AH897" i="3"/>
  <c r="AG897" i="3"/>
  <c r="F897" i="3" l="1"/>
  <c r="G897" i="3"/>
  <c r="M897" i="3" s="1"/>
  <c r="N897" i="3" s="1"/>
  <c r="K897" i="3"/>
  <c r="AE897" i="3" s="1"/>
  <c r="I897" i="3" l="1"/>
  <c r="J897" i="3"/>
  <c r="V897" i="3"/>
  <c r="A898" i="3"/>
  <c r="B898" i="3" s="1"/>
  <c r="L897" i="3" l="1"/>
  <c r="Y896" i="3" s="1"/>
  <c r="AD897" i="3"/>
  <c r="W897" i="3"/>
  <c r="AA898" i="3"/>
  <c r="AD898" i="3"/>
  <c r="P898" i="3"/>
  <c r="Q898" i="3" s="1"/>
  <c r="R898" i="3" s="1"/>
  <c r="S898" i="3" s="1"/>
  <c r="Z898" i="3"/>
  <c r="AC898" i="3"/>
  <c r="U897" i="3"/>
  <c r="T898" i="3" l="1"/>
  <c r="D898" i="3" s="1"/>
  <c r="G898" i="3" l="1"/>
  <c r="AG898" i="3"/>
  <c r="E898" i="3"/>
  <c r="H898" i="3" s="1"/>
  <c r="AH898" i="3"/>
  <c r="F898" i="3" l="1"/>
  <c r="I898" i="3"/>
  <c r="J898" i="3"/>
  <c r="M898" i="3"/>
  <c r="N898" i="3" s="1"/>
  <c r="K898" i="3"/>
  <c r="AE898" i="3" s="1"/>
  <c r="V898" i="3" l="1"/>
  <c r="W898" i="3" s="1"/>
  <c r="A899" i="3"/>
  <c r="B899" i="3" s="1"/>
  <c r="L898" i="3"/>
  <c r="U898" i="3" l="1"/>
  <c r="Y897" i="3"/>
  <c r="AC899" i="3"/>
  <c r="Z899" i="3"/>
  <c r="P899" i="3"/>
  <c r="Q899" i="3" s="1"/>
  <c r="R899" i="3" s="1"/>
  <c r="S899" i="3" s="1"/>
  <c r="AD899" i="3"/>
  <c r="AA899" i="3"/>
  <c r="T899" i="3" l="1"/>
  <c r="E899" i="3" s="1"/>
  <c r="H899" i="3" s="1"/>
  <c r="D899" i="3" l="1"/>
  <c r="G899" i="3" s="1"/>
  <c r="AG899" i="3"/>
  <c r="AH899" i="3"/>
  <c r="K899" i="3"/>
  <c r="AE899" i="3" s="1"/>
  <c r="F899" i="3" l="1"/>
  <c r="I899" i="3"/>
  <c r="J899" i="3"/>
  <c r="M899" i="3"/>
  <c r="N899" i="3" s="1"/>
  <c r="V899" i="3"/>
  <c r="A900" i="3"/>
  <c r="B900" i="3" s="1"/>
  <c r="W899" i="3" l="1"/>
  <c r="L899" i="3"/>
  <c r="P900" i="3"/>
  <c r="Q900" i="3" s="1"/>
  <c r="R900" i="3" s="1"/>
  <c r="S900" i="3" s="1"/>
  <c r="AC900" i="3"/>
  <c r="Z900" i="3"/>
  <c r="AD900" i="3"/>
  <c r="AA900" i="3"/>
  <c r="U899" i="3" l="1"/>
  <c r="Y898" i="3"/>
  <c r="T900" i="3"/>
  <c r="D900" i="3" l="1"/>
  <c r="G900" i="3" s="1"/>
  <c r="AH900" i="3"/>
  <c r="AG900" i="3"/>
  <c r="E900" i="3"/>
  <c r="H900" i="3" s="1"/>
  <c r="K900" i="3" s="1"/>
  <c r="AE900" i="3" s="1"/>
  <c r="F900" i="3" l="1"/>
  <c r="V900" i="3"/>
  <c r="A901" i="3"/>
  <c r="B901" i="3" s="1"/>
  <c r="I900" i="3"/>
  <c r="J900" i="3"/>
  <c r="M900" i="3"/>
  <c r="N900" i="3" s="1"/>
  <c r="L900" i="3" l="1"/>
  <c r="W900" i="3"/>
  <c r="AD901" i="3"/>
  <c r="P901" i="3"/>
  <c r="Q901" i="3" s="1"/>
  <c r="R901" i="3" s="1"/>
  <c r="S901" i="3" s="1"/>
  <c r="AA901" i="3"/>
  <c r="AC901" i="3"/>
  <c r="Z901" i="3"/>
  <c r="U900" i="3" l="1"/>
  <c r="Y899" i="3"/>
  <c r="T901" i="3"/>
  <c r="E901" i="3" l="1"/>
  <c r="H901" i="3" s="1"/>
  <c r="K901" i="3" s="1"/>
  <c r="AE901" i="3" s="1"/>
  <c r="AG901" i="3"/>
  <c r="D901" i="3"/>
  <c r="AH901" i="3"/>
  <c r="F901" i="3" l="1"/>
  <c r="G901" i="3"/>
  <c r="V901" i="3"/>
  <c r="A902" i="3"/>
  <c r="B902" i="3" s="1"/>
  <c r="AD902" i="3" l="1"/>
  <c r="AC902" i="3"/>
  <c r="P902" i="3"/>
  <c r="Q902" i="3" s="1"/>
  <c r="R902" i="3" s="1"/>
  <c r="S902" i="3" s="1"/>
  <c r="Z902" i="3"/>
  <c r="AA902" i="3"/>
  <c r="I901" i="3"/>
  <c r="W901" i="3" s="1"/>
  <c r="J901" i="3"/>
  <c r="M901" i="3"/>
  <c r="N901" i="3" s="1"/>
  <c r="T902" i="3" l="1"/>
  <c r="L901" i="3"/>
  <c r="U901" i="3" l="1"/>
  <c r="E902" i="3" s="1"/>
  <c r="H902" i="3" s="1"/>
  <c r="AH902" i="3"/>
  <c r="AG902" i="3"/>
  <c r="Y900" i="3"/>
  <c r="D902" i="3" l="1"/>
  <c r="F902" i="3" s="1"/>
  <c r="K902" i="3"/>
  <c r="AE902" i="3" s="1"/>
  <c r="G902" i="3" l="1"/>
  <c r="J902" i="3" s="1"/>
  <c r="V902" i="3"/>
  <c r="A903" i="3"/>
  <c r="B903" i="3" s="1"/>
  <c r="M902" i="3" l="1"/>
  <c r="N902" i="3" s="1"/>
  <c r="I902" i="3"/>
  <c r="W902" i="3" s="1"/>
  <c r="L902" i="3"/>
  <c r="Z903" i="3"/>
  <c r="AC903" i="3"/>
  <c r="P903" i="3"/>
  <c r="Q903" i="3" s="1"/>
  <c r="R903" i="3" s="1"/>
  <c r="S903" i="3" s="1"/>
  <c r="AD903" i="3"/>
  <c r="AA903" i="3"/>
  <c r="T903" i="3" l="1"/>
  <c r="AH903" i="3" s="1"/>
  <c r="U902" i="3"/>
  <c r="Y901" i="3"/>
  <c r="D903" i="3" l="1"/>
  <c r="E903" i="3"/>
  <c r="H903" i="3" s="1"/>
  <c r="AG903" i="3"/>
  <c r="K903" i="3" l="1"/>
  <c r="AE903" i="3" s="1"/>
  <c r="F903" i="3"/>
  <c r="G903" i="3"/>
  <c r="I903" i="3" l="1"/>
  <c r="J903" i="3"/>
  <c r="M903" i="3"/>
  <c r="N903" i="3" s="1"/>
  <c r="V903" i="3"/>
  <c r="A904" i="3"/>
  <c r="B904" i="3" s="1"/>
  <c r="W903" i="3" l="1"/>
  <c r="L903" i="3"/>
  <c r="AC904" i="3"/>
  <c r="Z904" i="3"/>
  <c r="P904" i="3"/>
  <c r="Q904" i="3" s="1"/>
  <c r="R904" i="3" s="1"/>
  <c r="S904" i="3" s="1"/>
  <c r="AA904" i="3"/>
  <c r="U903" i="3" l="1"/>
  <c r="Y902" i="3"/>
  <c r="T904" i="3"/>
  <c r="AH904" i="3" s="1"/>
  <c r="E904" i="3" l="1"/>
  <c r="H904" i="3" s="1"/>
  <c r="AG904" i="3"/>
  <c r="D904" i="3"/>
  <c r="K904" i="3" l="1"/>
  <c r="AE904" i="3" s="1"/>
  <c r="F904" i="3"/>
  <c r="G904" i="3"/>
  <c r="V904" i="3" l="1"/>
  <c r="A905" i="3"/>
  <c r="B905" i="3" s="1"/>
  <c r="I904" i="3"/>
  <c r="J904" i="3"/>
  <c r="AD904" i="3" s="1"/>
  <c r="M904" i="3"/>
  <c r="N904" i="3" s="1"/>
  <c r="L904" i="3" l="1"/>
  <c r="W904" i="3"/>
  <c r="AA905" i="3"/>
  <c r="Z905" i="3"/>
  <c r="AD905" i="3"/>
  <c r="AC905" i="3"/>
  <c r="P905" i="3"/>
  <c r="Q905" i="3" s="1"/>
  <c r="R905" i="3" s="1"/>
  <c r="S905" i="3" s="1"/>
  <c r="U904" i="3" l="1"/>
  <c r="Y903" i="3"/>
  <c r="T905" i="3"/>
  <c r="D905" i="3" l="1"/>
  <c r="G905" i="3" s="1"/>
  <c r="E905" i="3"/>
  <c r="H905" i="3" s="1"/>
  <c r="K905" i="3" s="1"/>
  <c r="AE905" i="3" s="1"/>
  <c r="AG905" i="3"/>
  <c r="AH905" i="3"/>
  <c r="F905" i="3" l="1"/>
  <c r="I905" i="3"/>
  <c r="J905" i="3"/>
  <c r="M905" i="3"/>
  <c r="N905" i="3" s="1"/>
  <c r="V905" i="3"/>
  <c r="A906" i="3"/>
  <c r="B906" i="3" s="1"/>
  <c r="L905" i="3" l="1"/>
  <c r="W905" i="3"/>
  <c r="AC906" i="3"/>
  <c r="P906" i="3"/>
  <c r="Q906" i="3" s="1"/>
  <c r="R906" i="3" s="1"/>
  <c r="S906" i="3" s="1"/>
  <c r="Z906" i="3"/>
  <c r="AD906" i="3"/>
  <c r="AA906" i="3"/>
  <c r="T906" i="3" l="1"/>
  <c r="U905" i="3"/>
  <c r="Y904" i="3"/>
  <c r="D906" i="3" l="1"/>
  <c r="G906" i="3" s="1"/>
  <c r="AG906" i="3"/>
  <c r="E906" i="3"/>
  <c r="H906" i="3" s="1"/>
  <c r="AH906" i="3"/>
  <c r="F906" i="3" l="1"/>
  <c r="I906" i="3"/>
  <c r="J906" i="3"/>
  <c r="M906" i="3"/>
  <c r="N906" i="3" s="1"/>
  <c r="K906" i="3"/>
  <c r="AE906" i="3" s="1"/>
  <c r="V906" i="3" l="1"/>
  <c r="W906" i="3" s="1"/>
  <c r="A907" i="3"/>
  <c r="B907" i="3" s="1"/>
  <c r="L906" i="3"/>
  <c r="U906" i="3" l="1"/>
  <c r="Y905" i="3"/>
  <c r="Z907" i="3"/>
  <c r="AC907" i="3"/>
  <c r="AA907" i="3"/>
  <c r="P907" i="3"/>
  <c r="Q907" i="3" s="1"/>
  <c r="R907" i="3" s="1"/>
  <c r="S907" i="3" s="1"/>
  <c r="T907" i="3" l="1"/>
  <c r="AG907" i="3" s="1"/>
  <c r="E907" i="3" l="1"/>
  <c r="H907" i="3" s="1"/>
  <c r="K907" i="3" s="1"/>
  <c r="AE907" i="3" s="1"/>
  <c r="D907" i="3"/>
  <c r="AH907" i="3"/>
  <c r="V907" i="3" l="1"/>
  <c r="A908" i="3"/>
  <c r="B908" i="3" s="1"/>
  <c r="F907" i="3"/>
  <c r="G907" i="3"/>
  <c r="I907" i="3" l="1"/>
  <c r="W907" i="3" s="1"/>
  <c r="J907" i="3"/>
  <c r="AD907" i="3" s="1"/>
  <c r="M907" i="3"/>
  <c r="N907" i="3" s="1"/>
  <c r="P908" i="3"/>
  <c r="Q908" i="3" s="1"/>
  <c r="R908" i="3" s="1"/>
  <c r="S908" i="3" s="1"/>
  <c r="AA908" i="3"/>
  <c r="Z908" i="3"/>
  <c r="AD908" i="3"/>
  <c r="AC908" i="3"/>
  <c r="T908" i="3" l="1"/>
  <c r="L907" i="3"/>
  <c r="AG908" i="3" l="1"/>
  <c r="AH908" i="3"/>
  <c r="U907" i="3"/>
  <c r="E908" i="3" s="1"/>
  <c r="H908" i="3" s="1"/>
  <c r="Y906" i="3"/>
  <c r="D908" i="3" l="1"/>
  <c r="G908" i="3" s="1"/>
  <c r="K908" i="3"/>
  <c r="AE908" i="3" s="1"/>
  <c r="F908" i="3" l="1"/>
  <c r="I908" i="3"/>
  <c r="J908" i="3"/>
  <c r="M908" i="3"/>
  <c r="N908" i="3" s="1"/>
  <c r="V908" i="3"/>
  <c r="A909" i="3"/>
  <c r="B909" i="3" s="1"/>
  <c r="W908" i="3" l="1"/>
  <c r="L908" i="3"/>
  <c r="AA909" i="3"/>
  <c r="Z909" i="3"/>
  <c r="P909" i="3"/>
  <c r="Q909" i="3" s="1"/>
  <c r="R909" i="3" s="1"/>
  <c r="S909" i="3" s="1"/>
  <c r="AD909" i="3"/>
  <c r="AC909" i="3"/>
  <c r="U908" i="3" l="1"/>
  <c r="Y907" i="3"/>
  <c r="T909" i="3"/>
  <c r="AH909" i="3" s="1"/>
  <c r="AG909" i="3" l="1"/>
  <c r="D909" i="3"/>
  <c r="G909" i="3" s="1"/>
  <c r="E909" i="3"/>
  <c r="H909" i="3" s="1"/>
  <c r="K909" i="3" s="1"/>
  <c r="AE909" i="3" s="1"/>
  <c r="F909" i="3" l="1"/>
  <c r="V909" i="3"/>
  <c r="A910" i="3"/>
  <c r="B910" i="3" s="1"/>
  <c r="I909" i="3"/>
  <c r="J909" i="3"/>
  <c r="M909" i="3"/>
  <c r="N909" i="3" s="1"/>
  <c r="W909" i="3" l="1"/>
  <c r="L909" i="3"/>
  <c r="AA910" i="3"/>
  <c r="AC910" i="3"/>
  <c r="P910" i="3"/>
  <c r="Q910" i="3" s="1"/>
  <c r="R910" i="3" s="1"/>
  <c r="S910" i="3" s="1"/>
  <c r="AD910" i="3"/>
  <c r="Z910" i="3"/>
  <c r="U909" i="3" l="1"/>
  <c r="Y908" i="3"/>
  <c r="T910" i="3"/>
  <c r="AH910" i="3" s="1"/>
  <c r="D910" i="3" l="1"/>
  <c r="G910" i="3" s="1"/>
  <c r="AG910" i="3"/>
  <c r="E910" i="3"/>
  <c r="H910" i="3" s="1"/>
  <c r="F910" i="3" l="1"/>
  <c r="I910" i="3"/>
  <c r="J910" i="3"/>
  <c r="M910" i="3"/>
  <c r="N910" i="3" s="1"/>
  <c r="K910" i="3"/>
  <c r="AE910" i="3" s="1"/>
  <c r="V910" i="3" l="1"/>
  <c r="W910" i="3" s="1"/>
  <c r="A911" i="3"/>
  <c r="B911" i="3" s="1"/>
  <c r="L910" i="3"/>
  <c r="U910" i="3" l="1"/>
  <c r="Y909" i="3"/>
  <c r="AD911" i="3"/>
  <c r="AA911" i="3"/>
  <c r="P911" i="3"/>
  <c r="Q911" i="3" s="1"/>
  <c r="R911" i="3" s="1"/>
  <c r="S911" i="3" s="1"/>
  <c r="Z911" i="3"/>
  <c r="AC911" i="3"/>
  <c r="T911" i="3" l="1"/>
  <c r="E911" i="3" s="1"/>
  <c r="H911" i="3" s="1"/>
  <c r="AH911" i="3" l="1"/>
  <c r="D911" i="3"/>
  <c r="G911" i="3" s="1"/>
  <c r="AG911" i="3"/>
  <c r="K911" i="3"/>
  <c r="AE911" i="3" s="1"/>
  <c r="F911" i="3" l="1"/>
  <c r="I911" i="3"/>
  <c r="J911" i="3"/>
  <c r="M911" i="3"/>
  <c r="N911" i="3" s="1"/>
  <c r="V911" i="3"/>
  <c r="A912" i="3"/>
  <c r="B912" i="3" s="1"/>
  <c r="W911" i="3" l="1"/>
  <c r="L911" i="3"/>
  <c r="AA912" i="3"/>
  <c r="AD912" i="3"/>
  <c r="AC912" i="3"/>
  <c r="P912" i="3"/>
  <c r="Q912" i="3" s="1"/>
  <c r="R912" i="3" s="1"/>
  <c r="S912" i="3" s="1"/>
  <c r="Z912" i="3"/>
  <c r="T912" i="3" l="1"/>
  <c r="U911" i="3"/>
  <c r="Y910" i="3"/>
  <c r="D912" i="3" l="1"/>
  <c r="G912" i="3" s="1"/>
  <c r="AG912" i="3"/>
  <c r="AH912" i="3"/>
  <c r="E912" i="3"/>
  <c r="H912" i="3" s="1"/>
  <c r="I912" i="3" l="1"/>
  <c r="J912" i="3"/>
  <c r="M912" i="3"/>
  <c r="N912" i="3" s="1"/>
  <c r="F912" i="3"/>
  <c r="K912" i="3"/>
  <c r="AE912" i="3" s="1"/>
  <c r="L912" i="3" l="1"/>
  <c r="V912" i="3"/>
  <c r="W912" i="3" s="1"/>
  <c r="A913" i="3"/>
  <c r="B913" i="3" s="1"/>
  <c r="U912" i="3" l="1"/>
  <c r="Y911" i="3"/>
  <c r="Z913" i="3"/>
  <c r="AD913" i="3"/>
  <c r="P913" i="3"/>
  <c r="Q913" i="3" s="1"/>
  <c r="R913" i="3" s="1"/>
  <c r="S913" i="3" s="1"/>
  <c r="AA913" i="3"/>
  <c r="AC913" i="3"/>
  <c r="T913" i="3" l="1"/>
  <c r="AH913" i="3" s="1"/>
  <c r="D913" i="3" l="1"/>
  <c r="G913" i="3" s="1"/>
  <c r="AG913" i="3"/>
  <c r="E913" i="3"/>
  <c r="H913" i="3" s="1"/>
  <c r="F913" i="3" l="1"/>
  <c r="I913" i="3"/>
  <c r="J913" i="3"/>
  <c r="M913" i="3"/>
  <c r="N913" i="3" s="1"/>
  <c r="K913" i="3"/>
  <c r="AE913" i="3" s="1"/>
  <c r="V913" i="3" l="1"/>
  <c r="W913" i="3" s="1"/>
  <c r="A914" i="3"/>
  <c r="B914" i="3" s="1"/>
  <c r="L913" i="3"/>
  <c r="U913" i="3" l="1"/>
  <c r="Y912" i="3"/>
  <c r="AA914" i="3"/>
  <c r="Z914" i="3"/>
  <c r="AC914" i="3"/>
  <c r="P914" i="3"/>
  <c r="Q914" i="3" s="1"/>
  <c r="R914" i="3" s="1"/>
  <c r="S914" i="3" s="1"/>
  <c r="T914" i="3" l="1"/>
  <c r="D914" i="3" s="1"/>
  <c r="E914" i="3" l="1"/>
  <c r="H914" i="3" s="1"/>
  <c r="K914" i="3" s="1"/>
  <c r="AE914" i="3" s="1"/>
  <c r="G914" i="3"/>
  <c r="AH914" i="3"/>
  <c r="AG914" i="3"/>
  <c r="F914" i="3" l="1"/>
  <c r="I914" i="3"/>
  <c r="J914" i="3"/>
  <c r="AD914" i="3" s="1"/>
  <c r="M914" i="3"/>
  <c r="N914" i="3" s="1"/>
  <c r="V914" i="3"/>
  <c r="A915" i="3"/>
  <c r="B915" i="3" s="1"/>
  <c r="W914" i="3" l="1"/>
  <c r="L914" i="3"/>
  <c r="P915" i="3"/>
  <c r="Q915" i="3" s="1"/>
  <c r="R915" i="3" s="1"/>
  <c r="S915" i="3" s="1"/>
  <c r="AA915" i="3"/>
  <c r="AC915" i="3"/>
  <c r="Z915" i="3"/>
  <c r="AD915" i="3"/>
  <c r="U914" i="3" l="1"/>
  <c r="Y913" i="3"/>
  <c r="T915" i="3"/>
  <c r="AH915" i="3" s="1"/>
  <c r="E915" i="3" l="1"/>
  <c r="H915" i="3" s="1"/>
  <c r="D915" i="3"/>
  <c r="AG915" i="3"/>
  <c r="K915" i="3" l="1"/>
  <c r="AE915" i="3" s="1"/>
  <c r="F915" i="3"/>
  <c r="G915" i="3"/>
  <c r="I915" i="3" l="1"/>
  <c r="J915" i="3"/>
  <c r="M915" i="3"/>
  <c r="N915" i="3" s="1"/>
  <c r="V915" i="3"/>
  <c r="A916" i="3"/>
  <c r="B916" i="3" s="1"/>
  <c r="W915" i="3" l="1"/>
  <c r="L915" i="3"/>
  <c r="AC916" i="3"/>
  <c r="AA916" i="3"/>
  <c r="Z916" i="3"/>
  <c r="P916" i="3"/>
  <c r="Q916" i="3" s="1"/>
  <c r="R916" i="3" s="1"/>
  <c r="S916" i="3" s="1"/>
  <c r="AD916" i="3"/>
  <c r="U915" i="3" l="1"/>
  <c r="Y914" i="3"/>
  <c r="T916" i="3"/>
  <c r="D916" i="3" l="1"/>
  <c r="G916" i="3" s="1"/>
  <c r="AG916" i="3"/>
  <c r="AH916" i="3"/>
  <c r="E916" i="3"/>
  <c r="H916" i="3" s="1"/>
  <c r="K916" i="3" l="1"/>
  <c r="AE916" i="3" s="1"/>
  <c r="I916" i="3"/>
  <c r="J916" i="3"/>
  <c r="M916" i="3"/>
  <c r="N916" i="3" s="1"/>
  <c r="F916" i="3"/>
  <c r="L916" i="3" l="1"/>
  <c r="V916" i="3"/>
  <c r="W916" i="3" s="1"/>
  <c r="A917" i="3"/>
  <c r="B917" i="3" s="1"/>
  <c r="U916" i="3" l="1"/>
  <c r="Y915" i="3"/>
  <c r="AC917" i="3"/>
  <c r="Z917" i="3"/>
  <c r="P917" i="3"/>
  <c r="Q917" i="3" s="1"/>
  <c r="R917" i="3" s="1"/>
  <c r="S917" i="3" s="1"/>
  <c r="AA917" i="3"/>
  <c r="T917" i="3" l="1"/>
  <c r="AG917" i="3" s="1"/>
  <c r="E917" i="3" l="1"/>
  <c r="H917" i="3" s="1"/>
  <c r="K917" i="3" s="1"/>
  <c r="AE917" i="3" s="1"/>
  <c r="AH917" i="3"/>
  <c r="D917" i="3"/>
  <c r="F917" i="3" l="1"/>
  <c r="G917" i="3"/>
  <c r="J917" i="3" s="1"/>
  <c r="AD917" i="3" s="1"/>
  <c r="V917" i="3"/>
  <c r="A918" i="3"/>
  <c r="B918" i="3" s="1"/>
  <c r="M917" i="3" l="1"/>
  <c r="N917" i="3" s="1"/>
  <c r="I917" i="3"/>
  <c r="W917" i="3" s="1"/>
  <c r="L917" i="3"/>
  <c r="AC918" i="3"/>
  <c r="AD918" i="3"/>
  <c r="AA918" i="3"/>
  <c r="Z918" i="3"/>
  <c r="P918" i="3"/>
  <c r="Q918" i="3" s="1"/>
  <c r="R918" i="3" s="1"/>
  <c r="S918" i="3" s="1"/>
  <c r="T918" i="3" l="1"/>
  <c r="U917" i="3"/>
  <c r="Y916" i="3"/>
  <c r="E918" i="3" l="1"/>
  <c r="H918" i="3" s="1"/>
  <c r="K918" i="3" s="1"/>
  <c r="AE918" i="3" s="1"/>
  <c r="AH918" i="3"/>
  <c r="D918" i="3"/>
  <c r="G918" i="3" s="1"/>
  <c r="AG918" i="3"/>
  <c r="F918" i="3" l="1"/>
  <c r="I918" i="3"/>
  <c r="J918" i="3"/>
  <c r="M918" i="3"/>
  <c r="N918" i="3" s="1"/>
  <c r="V918" i="3"/>
  <c r="A919" i="3"/>
  <c r="B919" i="3" s="1"/>
  <c r="L918" i="3" l="1"/>
  <c r="W918" i="3"/>
  <c r="P919" i="3"/>
  <c r="Q919" i="3" s="1"/>
  <c r="R919" i="3" s="1"/>
  <c r="S919" i="3" s="1"/>
  <c r="Z919" i="3"/>
  <c r="AC919" i="3"/>
  <c r="AD919" i="3"/>
  <c r="AA919" i="3"/>
  <c r="U918" i="3" l="1"/>
  <c r="Y917" i="3"/>
  <c r="T919" i="3"/>
  <c r="AG919" i="3" s="1"/>
  <c r="E919" i="3" l="1"/>
  <c r="H919" i="3" s="1"/>
  <c r="K919" i="3" s="1"/>
  <c r="AE919" i="3" s="1"/>
  <c r="AH919" i="3"/>
  <c r="D919" i="3"/>
  <c r="V919" i="3" l="1"/>
  <c r="A920" i="3"/>
  <c r="B920" i="3" s="1"/>
  <c r="F919" i="3"/>
  <c r="G919" i="3"/>
  <c r="I919" i="3" l="1"/>
  <c r="W919" i="3" s="1"/>
  <c r="J919" i="3"/>
  <c r="M919" i="3"/>
  <c r="N919" i="3" s="1"/>
  <c r="AD920" i="3"/>
  <c r="AC920" i="3"/>
  <c r="P920" i="3"/>
  <c r="Q920" i="3" s="1"/>
  <c r="R920" i="3" s="1"/>
  <c r="S920" i="3" s="1"/>
  <c r="AA920" i="3"/>
  <c r="Z920" i="3"/>
  <c r="T920" i="3" l="1"/>
  <c r="L919" i="3"/>
  <c r="AH920" i="3" l="1"/>
  <c r="U919" i="3"/>
  <c r="E920" i="3" s="1"/>
  <c r="H920" i="3" s="1"/>
  <c r="AG920" i="3"/>
  <c r="Y918" i="3"/>
  <c r="D920" i="3" l="1"/>
  <c r="G920" i="3" s="1"/>
  <c r="K920" i="3"/>
  <c r="AE920" i="3" s="1"/>
  <c r="F920" i="3" l="1"/>
  <c r="V920" i="3"/>
  <c r="A921" i="3"/>
  <c r="B921" i="3" s="1"/>
  <c r="I920" i="3"/>
  <c r="J920" i="3"/>
  <c r="M920" i="3"/>
  <c r="N920" i="3" s="1"/>
  <c r="W920" i="3" l="1"/>
  <c r="L920" i="3"/>
  <c r="AA921" i="3"/>
  <c r="Z921" i="3"/>
  <c r="P921" i="3"/>
  <c r="Q921" i="3" s="1"/>
  <c r="R921" i="3" s="1"/>
  <c r="S921" i="3" s="1"/>
  <c r="AD921" i="3"/>
  <c r="AC921" i="3"/>
  <c r="U920" i="3" l="1"/>
  <c r="Y919" i="3"/>
  <c r="T921" i="3"/>
  <c r="AG921" i="3" s="1"/>
  <c r="E921" i="3" l="1"/>
  <c r="H921" i="3" s="1"/>
  <c r="K921" i="3" s="1"/>
  <c r="AE921" i="3" s="1"/>
  <c r="AH921" i="3"/>
  <c r="D921" i="3"/>
  <c r="G921" i="3" s="1"/>
  <c r="F921" i="3" l="1"/>
  <c r="I921" i="3"/>
  <c r="J921" i="3"/>
  <c r="M921" i="3"/>
  <c r="N921" i="3" s="1"/>
  <c r="V921" i="3"/>
  <c r="A922" i="3"/>
  <c r="B922" i="3" s="1"/>
  <c r="W921" i="3" l="1"/>
  <c r="L921" i="3"/>
  <c r="AC922" i="3"/>
  <c r="AA922" i="3"/>
  <c r="Z922" i="3"/>
  <c r="P922" i="3"/>
  <c r="Q922" i="3" s="1"/>
  <c r="R922" i="3" s="1"/>
  <c r="S922" i="3" s="1"/>
  <c r="AD922" i="3"/>
  <c r="U921" i="3" l="1"/>
  <c r="Y920" i="3"/>
  <c r="T922" i="3"/>
  <c r="E922" i="3" l="1"/>
  <c r="H922" i="3" s="1"/>
  <c r="K922" i="3" s="1"/>
  <c r="AE922" i="3" s="1"/>
  <c r="AH922" i="3"/>
  <c r="D922" i="3"/>
  <c r="AG922" i="3"/>
  <c r="F922" i="3" l="1"/>
  <c r="G922" i="3"/>
  <c r="V922" i="3"/>
  <c r="A923" i="3"/>
  <c r="B923" i="3" s="1"/>
  <c r="AD923" i="3" l="1"/>
  <c r="AC923" i="3"/>
  <c r="Z923" i="3"/>
  <c r="AA923" i="3"/>
  <c r="P923" i="3"/>
  <c r="Q923" i="3" s="1"/>
  <c r="R923" i="3" s="1"/>
  <c r="S923" i="3" s="1"/>
  <c r="I922" i="3"/>
  <c r="W922" i="3" s="1"/>
  <c r="J922" i="3"/>
  <c r="M922" i="3"/>
  <c r="N922" i="3" s="1"/>
  <c r="L922" i="3" l="1"/>
  <c r="T923" i="3"/>
  <c r="AH923" i="3" l="1"/>
  <c r="AG923" i="3"/>
  <c r="U922" i="3"/>
  <c r="D923" i="3" s="1"/>
  <c r="Y921" i="3"/>
  <c r="E923" i="3" l="1"/>
  <c r="H923" i="3" s="1"/>
  <c r="K923" i="3" s="1"/>
  <c r="AE923" i="3" s="1"/>
  <c r="G923" i="3"/>
  <c r="F923" i="3" l="1"/>
  <c r="V923" i="3"/>
  <c r="A924" i="3"/>
  <c r="B924" i="3" s="1"/>
  <c r="I923" i="3"/>
  <c r="J923" i="3"/>
  <c r="M923" i="3"/>
  <c r="N923" i="3" s="1"/>
  <c r="W923" i="3" l="1"/>
  <c r="L923" i="3"/>
  <c r="Z924" i="3"/>
  <c r="AC924" i="3"/>
  <c r="P924" i="3"/>
  <c r="Q924" i="3" s="1"/>
  <c r="R924" i="3" s="1"/>
  <c r="S924" i="3" s="1"/>
  <c r="AA924" i="3"/>
  <c r="U923" i="3" l="1"/>
  <c r="Y922" i="3"/>
  <c r="T924" i="3"/>
  <c r="AH924" i="3" s="1"/>
  <c r="D924" i="3" l="1"/>
  <c r="G924" i="3" s="1"/>
  <c r="AG924" i="3"/>
  <c r="E924" i="3"/>
  <c r="H924" i="3" s="1"/>
  <c r="K924" i="3" s="1"/>
  <c r="AE924" i="3" s="1"/>
  <c r="F924" i="3" l="1"/>
  <c r="I924" i="3"/>
  <c r="J924" i="3"/>
  <c r="AD924" i="3" s="1"/>
  <c r="M924" i="3"/>
  <c r="N924" i="3" s="1"/>
  <c r="V924" i="3"/>
  <c r="A925" i="3"/>
  <c r="B925" i="3" s="1"/>
  <c r="W924" i="3" l="1"/>
  <c r="L924" i="3"/>
  <c r="Z925" i="3"/>
  <c r="AA925" i="3"/>
  <c r="AD925" i="3"/>
  <c r="AC925" i="3"/>
  <c r="P925" i="3"/>
  <c r="Q925" i="3" s="1"/>
  <c r="R925" i="3" s="1"/>
  <c r="S925" i="3" s="1"/>
  <c r="T925" i="3" l="1"/>
  <c r="AG925" i="3" s="1"/>
  <c r="U924" i="3"/>
  <c r="Y923" i="3"/>
  <c r="AH925" i="3" l="1"/>
  <c r="E925" i="3"/>
  <c r="H925" i="3" s="1"/>
  <c r="D925" i="3"/>
  <c r="K925" i="3" l="1"/>
  <c r="AE925" i="3" s="1"/>
  <c r="F925" i="3"/>
  <c r="G925" i="3"/>
  <c r="I925" i="3" l="1"/>
  <c r="J925" i="3"/>
  <c r="M925" i="3"/>
  <c r="N925" i="3" s="1"/>
  <c r="V925" i="3"/>
  <c r="A926" i="3"/>
  <c r="B926" i="3" s="1"/>
  <c r="W925" i="3" l="1"/>
  <c r="L925" i="3"/>
  <c r="AC926" i="3"/>
  <c r="AA926" i="3"/>
  <c r="AD926" i="3"/>
  <c r="P926" i="3"/>
  <c r="Q926" i="3" s="1"/>
  <c r="R926" i="3" s="1"/>
  <c r="S926" i="3" s="1"/>
  <c r="Z926" i="3"/>
  <c r="U925" i="3" l="1"/>
  <c r="Y924" i="3"/>
  <c r="T926" i="3"/>
  <c r="AG926" i="3" s="1"/>
  <c r="E926" i="3" l="1"/>
  <c r="H926" i="3" s="1"/>
  <c r="K926" i="3" s="1"/>
  <c r="AE926" i="3" s="1"/>
  <c r="AH926" i="3"/>
  <c r="D926" i="3"/>
  <c r="V926" i="3" l="1"/>
  <c r="A927" i="3"/>
  <c r="B927" i="3" s="1"/>
  <c r="F926" i="3"/>
  <c r="G926" i="3"/>
  <c r="I926" i="3" l="1"/>
  <c r="W926" i="3" s="1"/>
  <c r="J926" i="3"/>
  <c r="M926" i="3"/>
  <c r="N926" i="3" s="1"/>
  <c r="Z927" i="3"/>
  <c r="P927" i="3"/>
  <c r="Q927" i="3" s="1"/>
  <c r="R927" i="3" s="1"/>
  <c r="S927" i="3" s="1"/>
  <c r="AA927" i="3"/>
  <c r="AC927" i="3"/>
  <c r="T927" i="3" l="1"/>
  <c r="L926" i="3"/>
  <c r="U926" i="3" l="1"/>
  <c r="D927" i="3" s="1"/>
  <c r="AG927" i="3"/>
  <c r="AH927" i="3"/>
  <c r="Y925" i="3"/>
  <c r="G927" i="3" l="1"/>
  <c r="E927" i="3"/>
  <c r="H927" i="3" s="1"/>
  <c r="F927" i="3" l="1"/>
  <c r="K927" i="3"/>
  <c r="AE927" i="3" s="1"/>
  <c r="I927" i="3"/>
  <c r="J927" i="3"/>
  <c r="AD927" i="3" s="1"/>
  <c r="M927" i="3"/>
  <c r="N927" i="3" s="1"/>
  <c r="L927" i="3" l="1"/>
  <c r="V927" i="3"/>
  <c r="W927" i="3" s="1"/>
  <c r="A928" i="3"/>
  <c r="B928" i="3" s="1"/>
  <c r="U927" i="3" l="1"/>
  <c r="Y926" i="3"/>
  <c r="AC928" i="3"/>
  <c r="AD928" i="3"/>
  <c r="AA928" i="3"/>
  <c r="Z928" i="3"/>
  <c r="P928" i="3"/>
  <c r="Q928" i="3" s="1"/>
  <c r="R928" i="3" s="1"/>
  <c r="S928" i="3" s="1"/>
  <c r="T928" i="3" l="1"/>
  <c r="D928" i="3" s="1"/>
  <c r="AH928" i="3" l="1"/>
  <c r="E928" i="3"/>
  <c r="H928" i="3" s="1"/>
  <c r="K928" i="3" s="1"/>
  <c r="AE928" i="3" s="1"/>
  <c r="AG928" i="3"/>
  <c r="G928" i="3"/>
  <c r="F928" i="3" l="1"/>
  <c r="I928" i="3"/>
  <c r="J928" i="3"/>
  <c r="M928" i="3"/>
  <c r="N928" i="3" s="1"/>
  <c r="V928" i="3"/>
  <c r="A929" i="3"/>
  <c r="B929" i="3" s="1"/>
  <c r="L928" i="3" l="1"/>
  <c r="P929" i="3"/>
  <c r="Q929" i="3" s="1"/>
  <c r="R929" i="3" s="1"/>
  <c r="S929" i="3" s="1"/>
  <c r="AD929" i="3"/>
  <c r="AC929" i="3"/>
  <c r="Z929" i="3"/>
  <c r="AA929" i="3"/>
  <c r="W928" i="3"/>
  <c r="T929" i="3" l="1"/>
  <c r="AG929" i="3" s="1"/>
  <c r="U928" i="3"/>
  <c r="Y927" i="3"/>
  <c r="AH929" i="3" l="1"/>
  <c r="D929" i="3"/>
  <c r="E929" i="3"/>
  <c r="H929" i="3" s="1"/>
  <c r="F929" i="3" l="1"/>
  <c r="G929" i="3"/>
  <c r="K929" i="3"/>
  <c r="AE929" i="3" s="1"/>
  <c r="V929" i="3" l="1"/>
  <c r="A930" i="3"/>
  <c r="B930" i="3" s="1"/>
  <c r="I929" i="3"/>
  <c r="J929" i="3"/>
  <c r="M929" i="3"/>
  <c r="N929" i="3" s="1"/>
  <c r="L929" i="3" l="1"/>
  <c r="AD930" i="3"/>
  <c r="P930" i="3"/>
  <c r="Q930" i="3" s="1"/>
  <c r="R930" i="3" s="1"/>
  <c r="S930" i="3" s="1"/>
  <c r="AC930" i="3"/>
  <c r="Z930" i="3"/>
  <c r="AA930" i="3"/>
  <c r="W929" i="3"/>
  <c r="T930" i="3" l="1"/>
  <c r="U929" i="3"/>
  <c r="Y928" i="3"/>
  <c r="D930" i="3" l="1"/>
  <c r="G930" i="3" s="1"/>
  <c r="AH930" i="3"/>
  <c r="E930" i="3"/>
  <c r="H930" i="3" s="1"/>
  <c r="AG930" i="3"/>
  <c r="F930" i="3" l="1"/>
  <c r="I930" i="3"/>
  <c r="J930" i="3"/>
  <c r="M930" i="3"/>
  <c r="N930" i="3" s="1"/>
  <c r="K930" i="3"/>
  <c r="AE930" i="3" s="1"/>
  <c r="V930" i="3" l="1"/>
  <c r="W930" i="3" s="1"/>
  <c r="A931" i="3"/>
  <c r="B931" i="3" s="1"/>
  <c r="L930" i="3"/>
  <c r="U930" i="3" l="1"/>
  <c r="Y929" i="3"/>
  <c r="AC931" i="3"/>
  <c r="AA931" i="3"/>
  <c r="Z931" i="3"/>
  <c r="P931" i="3"/>
  <c r="Q931" i="3" s="1"/>
  <c r="R931" i="3" s="1"/>
  <c r="S931" i="3" s="1"/>
  <c r="AD931" i="3"/>
  <c r="T931" i="3" l="1"/>
  <c r="AH931" i="3" s="1"/>
  <c r="E931" i="3" l="1"/>
  <c r="H931" i="3" s="1"/>
  <c r="D931" i="3"/>
  <c r="AG931" i="3"/>
  <c r="K931" i="3" l="1"/>
  <c r="AE931" i="3" s="1"/>
  <c r="F931" i="3"/>
  <c r="G931" i="3"/>
  <c r="I931" i="3" l="1"/>
  <c r="J931" i="3"/>
  <c r="M931" i="3"/>
  <c r="N931" i="3" s="1"/>
  <c r="V931" i="3"/>
  <c r="A932" i="3"/>
  <c r="B932" i="3" s="1"/>
  <c r="W931" i="3" l="1"/>
  <c r="L931" i="3"/>
  <c r="AA932" i="3"/>
  <c r="AD932" i="3"/>
  <c r="Z932" i="3"/>
  <c r="AC932" i="3"/>
  <c r="P932" i="3"/>
  <c r="Q932" i="3" s="1"/>
  <c r="R932" i="3" s="1"/>
  <c r="S932" i="3" s="1"/>
  <c r="U931" i="3" l="1"/>
  <c r="Y930" i="3"/>
  <c r="T932" i="3"/>
  <c r="AH932" i="3" s="1"/>
  <c r="E932" i="3" l="1"/>
  <c r="H932" i="3" s="1"/>
  <c r="D932" i="3"/>
  <c r="AG932" i="3"/>
  <c r="K932" i="3" l="1"/>
  <c r="AE932" i="3" s="1"/>
  <c r="F932" i="3"/>
  <c r="G932" i="3"/>
  <c r="V932" i="3" l="1"/>
  <c r="A933" i="3"/>
  <c r="B933" i="3" s="1"/>
  <c r="I932" i="3"/>
  <c r="J932" i="3"/>
  <c r="M932" i="3"/>
  <c r="N932" i="3" s="1"/>
  <c r="L932" i="3" l="1"/>
  <c r="W932" i="3"/>
  <c r="AA933" i="3"/>
  <c r="P933" i="3"/>
  <c r="Q933" i="3" s="1"/>
  <c r="R933" i="3" s="1"/>
  <c r="S933" i="3" s="1"/>
  <c r="Z933" i="3"/>
  <c r="AD933" i="3"/>
  <c r="AC933" i="3"/>
  <c r="U932" i="3" l="1"/>
  <c r="Y931" i="3"/>
  <c r="T933" i="3"/>
  <c r="D933" i="3" l="1"/>
  <c r="G933" i="3" s="1"/>
  <c r="AH933" i="3"/>
  <c r="AG933" i="3"/>
  <c r="E933" i="3"/>
  <c r="H933" i="3" s="1"/>
  <c r="K933" i="3" l="1"/>
  <c r="AE933" i="3" s="1"/>
  <c r="I933" i="3"/>
  <c r="J933" i="3"/>
  <c r="M933" i="3"/>
  <c r="N933" i="3" s="1"/>
  <c r="F933" i="3"/>
  <c r="V933" i="3" l="1"/>
  <c r="W933" i="3" s="1"/>
  <c r="A934" i="3"/>
  <c r="B934" i="3" s="1"/>
  <c r="L933" i="3"/>
  <c r="U933" i="3" l="1"/>
  <c r="Y932" i="3"/>
  <c r="AC934" i="3"/>
  <c r="Z934" i="3"/>
  <c r="P934" i="3"/>
  <c r="Q934" i="3" s="1"/>
  <c r="R934" i="3" s="1"/>
  <c r="S934" i="3" s="1"/>
  <c r="AA934" i="3"/>
  <c r="T934" i="3" l="1"/>
  <c r="AH934" i="3" s="1"/>
  <c r="AG934" i="3" l="1"/>
  <c r="D934" i="3"/>
  <c r="E934" i="3"/>
  <c r="H934" i="3" s="1"/>
  <c r="K934" i="3" l="1"/>
  <c r="AE934" i="3" s="1"/>
  <c r="F934" i="3"/>
  <c r="G934" i="3"/>
  <c r="V934" i="3" l="1"/>
  <c r="A935" i="3"/>
  <c r="B935" i="3" s="1"/>
  <c r="I934" i="3"/>
  <c r="J934" i="3"/>
  <c r="AD934" i="3" s="1"/>
  <c r="M934" i="3"/>
  <c r="N934" i="3" s="1"/>
  <c r="W934" i="3" l="1"/>
  <c r="L934" i="3"/>
  <c r="AD935" i="3"/>
  <c r="P935" i="3"/>
  <c r="Q935" i="3" s="1"/>
  <c r="R935" i="3" s="1"/>
  <c r="S935" i="3" s="1"/>
  <c r="AA935" i="3"/>
  <c r="AC935" i="3"/>
  <c r="Z935" i="3"/>
  <c r="T935" i="3" l="1"/>
  <c r="U934" i="3"/>
  <c r="Y933" i="3"/>
  <c r="E935" i="3" l="1"/>
  <c r="H935" i="3" s="1"/>
  <c r="K935" i="3" s="1"/>
  <c r="AE935" i="3" s="1"/>
  <c r="AH935" i="3"/>
  <c r="AG935" i="3"/>
  <c r="D935" i="3"/>
  <c r="V935" i="3" l="1"/>
  <c r="A936" i="3"/>
  <c r="B936" i="3" s="1"/>
  <c r="F935" i="3"/>
  <c r="G935" i="3"/>
  <c r="I935" i="3" l="1"/>
  <c r="W935" i="3" s="1"/>
  <c r="J935" i="3"/>
  <c r="M935" i="3"/>
  <c r="N935" i="3" s="1"/>
  <c r="P936" i="3"/>
  <c r="Q936" i="3" s="1"/>
  <c r="R936" i="3" s="1"/>
  <c r="S936" i="3" s="1"/>
  <c r="AD936" i="3"/>
  <c r="AC936" i="3"/>
  <c r="Z936" i="3"/>
  <c r="AA936" i="3"/>
  <c r="T936" i="3" l="1"/>
  <c r="L935" i="3"/>
  <c r="AH936" i="3" l="1"/>
  <c r="U935" i="3"/>
  <c r="E936" i="3" s="1"/>
  <c r="H936" i="3" s="1"/>
  <c r="AG936" i="3"/>
  <c r="Y934" i="3"/>
  <c r="D936" i="3" l="1"/>
  <c r="F936" i="3" s="1"/>
  <c r="K936" i="3"/>
  <c r="AE936" i="3" s="1"/>
  <c r="G936" i="3" l="1"/>
  <c r="J936" i="3" s="1"/>
  <c r="V936" i="3"/>
  <c r="A937" i="3"/>
  <c r="B937" i="3" s="1"/>
  <c r="M936" i="3" l="1"/>
  <c r="N936" i="3" s="1"/>
  <c r="I936" i="3"/>
  <c r="W936" i="3" s="1"/>
  <c r="L936" i="3"/>
  <c r="P937" i="3"/>
  <c r="Q937" i="3" s="1"/>
  <c r="R937" i="3" s="1"/>
  <c r="S937" i="3" s="1"/>
  <c r="AA937" i="3"/>
  <c r="Z937" i="3"/>
  <c r="AC937" i="3"/>
  <c r="U936" i="3" l="1"/>
  <c r="Y935" i="3"/>
  <c r="T937" i="3"/>
  <c r="AG937" i="3" s="1"/>
  <c r="E937" i="3" l="1"/>
  <c r="H937" i="3" s="1"/>
  <c r="K937" i="3" s="1"/>
  <c r="AE937" i="3" s="1"/>
  <c r="D937" i="3"/>
  <c r="G937" i="3" s="1"/>
  <c r="AH937" i="3"/>
  <c r="F937" i="3" l="1"/>
  <c r="V937" i="3"/>
  <c r="A938" i="3"/>
  <c r="B938" i="3" s="1"/>
  <c r="I937" i="3"/>
  <c r="J937" i="3"/>
  <c r="AD937" i="3" s="1"/>
  <c r="M937" i="3"/>
  <c r="N937" i="3" s="1"/>
  <c r="W937" i="3" l="1"/>
  <c r="L937" i="3"/>
  <c r="Z938" i="3"/>
  <c r="P938" i="3"/>
  <c r="Q938" i="3" s="1"/>
  <c r="R938" i="3" s="1"/>
  <c r="S938" i="3" s="1"/>
  <c r="AA938" i="3"/>
  <c r="AC938" i="3"/>
  <c r="AD938" i="3"/>
  <c r="T938" i="3" l="1"/>
  <c r="AG938" i="3" s="1"/>
  <c r="U937" i="3"/>
  <c r="Y936" i="3"/>
  <c r="D938" i="3" l="1"/>
  <c r="AH938" i="3"/>
  <c r="E938" i="3"/>
  <c r="H938" i="3" s="1"/>
  <c r="F938" i="3" l="1"/>
  <c r="G938" i="3"/>
  <c r="J938" i="3" s="1"/>
  <c r="K938" i="3"/>
  <c r="AE938" i="3" s="1"/>
  <c r="I938" i="3" l="1"/>
  <c r="M938" i="3"/>
  <c r="N938" i="3" s="1"/>
  <c r="V938" i="3"/>
  <c r="A939" i="3"/>
  <c r="B939" i="3" s="1"/>
  <c r="L938" i="3"/>
  <c r="W938" i="3" l="1"/>
  <c r="U938" i="3"/>
  <c r="Y937" i="3"/>
  <c r="AA939" i="3"/>
  <c r="P939" i="3"/>
  <c r="Q939" i="3" s="1"/>
  <c r="R939" i="3" s="1"/>
  <c r="S939" i="3" s="1"/>
  <c r="Z939" i="3"/>
  <c r="AD939" i="3"/>
  <c r="AC939" i="3"/>
  <c r="T939" i="3" l="1"/>
  <c r="E939" i="3" s="1"/>
  <c r="H939" i="3" s="1"/>
  <c r="K939" i="3" l="1"/>
  <c r="AE939" i="3" s="1"/>
  <c r="AG939" i="3"/>
  <c r="D939" i="3"/>
  <c r="AH939" i="3"/>
  <c r="F939" i="3" l="1"/>
  <c r="G939" i="3"/>
  <c r="V939" i="3"/>
  <c r="A940" i="3"/>
  <c r="B940" i="3" s="1"/>
  <c r="AC940" i="3" l="1"/>
  <c r="Z940" i="3"/>
  <c r="P940" i="3"/>
  <c r="Q940" i="3" s="1"/>
  <c r="R940" i="3" s="1"/>
  <c r="S940" i="3" s="1"/>
  <c r="AA940" i="3"/>
  <c r="AD940" i="3"/>
  <c r="I939" i="3"/>
  <c r="W939" i="3" s="1"/>
  <c r="J939" i="3"/>
  <c r="M939" i="3"/>
  <c r="N939" i="3" s="1"/>
  <c r="T940" i="3" l="1"/>
  <c r="L939" i="3"/>
  <c r="AG940" i="3" l="1"/>
  <c r="AH940" i="3"/>
  <c r="U939" i="3"/>
  <c r="D940" i="3" s="1"/>
  <c r="Y938" i="3"/>
  <c r="E940" i="3" l="1"/>
  <c r="H940" i="3" s="1"/>
  <c r="K940" i="3" s="1"/>
  <c r="AE940" i="3" s="1"/>
  <c r="G940" i="3"/>
  <c r="F940" i="3" l="1"/>
  <c r="I940" i="3"/>
  <c r="J940" i="3"/>
  <c r="M940" i="3"/>
  <c r="N940" i="3" s="1"/>
  <c r="V940" i="3"/>
  <c r="A941" i="3"/>
  <c r="B941" i="3" s="1"/>
  <c r="W940" i="3" l="1"/>
  <c r="L940" i="3"/>
  <c r="AD941" i="3"/>
  <c r="P941" i="3"/>
  <c r="Q941" i="3" s="1"/>
  <c r="R941" i="3" s="1"/>
  <c r="S941" i="3" s="1"/>
  <c r="Z941" i="3"/>
  <c r="AC941" i="3"/>
  <c r="AA941" i="3"/>
  <c r="T941" i="3" l="1"/>
  <c r="U940" i="3"/>
  <c r="Y939" i="3"/>
  <c r="E941" i="3" l="1"/>
  <c r="H941" i="3" s="1"/>
  <c r="K941" i="3" s="1"/>
  <c r="AE941" i="3" s="1"/>
  <c r="AH941" i="3"/>
  <c r="AG941" i="3"/>
  <c r="D941" i="3"/>
  <c r="F941" i="3" l="1"/>
  <c r="G941" i="3"/>
  <c r="V941" i="3"/>
  <c r="A942" i="3"/>
  <c r="B942" i="3" s="1"/>
  <c r="Z942" i="3" l="1"/>
  <c r="AD942" i="3"/>
  <c r="AC942" i="3"/>
  <c r="AA942" i="3"/>
  <c r="P942" i="3"/>
  <c r="Q942" i="3" s="1"/>
  <c r="R942" i="3" s="1"/>
  <c r="S942" i="3" s="1"/>
  <c r="I941" i="3"/>
  <c r="W941" i="3" s="1"/>
  <c r="J941" i="3"/>
  <c r="M941" i="3"/>
  <c r="N941" i="3" s="1"/>
  <c r="T942" i="3" l="1"/>
  <c r="L941" i="3"/>
  <c r="U941" i="3" l="1"/>
  <c r="E942" i="3" s="1"/>
  <c r="H942" i="3" s="1"/>
  <c r="AG942" i="3"/>
  <c r="AH942" i="3"/>
  <c r="Y940" i="3"/>
  <c r="D942" i="3" l="1"/>
  <c r="G942" i="3" s="1"/>
  <c r="K942" i="3"/>
  <c r="AE942" i="3" s="1"/>
  <c r="F942" i="3" l="1"/>
  <c r="I942" i="3"/>
  <c r="J942" i="3"/>
  <c r="M942" i="3"/>
  <c r="N942" i="3" s="1"/>
  <c r="V942" i="3"/>
  <c r="A943" i="3"/>
  <c r="B943" i="3" s="1"/>
  <c r="W942" i="3" l="1"/>
  <c r="L942" i="3"/>
  <c r="AA943" i="3"/>
  <c r="AC943" i="3"/>
  <c r="P943" i="3"/>
  <c r="Q943" i="3" s="1"/>
  <c r="R943" i="3" s="1"/>
  <c r="S943" i="3" s="1"/>
  <c r="Z943" i="3"/>
  <c r="AD943" i="3"/>
  <c r="U942" i="3" l="1"/>
  <c r="Y941" i="3"/>
  <c r="T943" i="3"/>
  <c r="AG943" i="3" s="1"/>
  <c r="E943" i="3" l="1"/>
  <c r="H943" i="3" s="1"/>
  <c r="K943" i="3" s="1"/>
  <c r="AE943" i="3" s="1"/>
  <c r="D943" i="3"/>
  <c r="AH943" i="3"/>
  <c r="F943" i="3" l="1"/>
  <c r="G943" i="3"/>
  <c r="M943" i="3" s="1"/>
  <c r="N943" i="3" s="1"/>
  <c r="V943" i="3"/>
  <c r="A944" i="3"/>
  <c r="B944" i="3" s="1"/>
  <c r="I943" i="3" l="1"/>
  <c r="W943" i="3" s="1"/>
  <c r="J943" i="3"/>
  <c r="L943" i="3" s="1"/>
  <c r="P944" i="3"/>
  <c r="Q944" i="3" s="1"/>
  <c r="R944" i="3" s="1"/>
  <c r="S944" i="3" s="1"/>
  <c r="AC944" i="3"/>
  <c r="Z944" i="3"/>
  <c r="AA944" i="3"/>
  <c r="U943" i="3" l="1"/>
  <c r="Y942" i="3"/>
  <c r="T944" i="3"/>
  <c r="AH944" i="3" s="1"/>
  <c r="D944" i="3" l="1"/>
  <c r="E944" i="3"/>
  <c r="H944" i="3" s="1"/>
  <c r="AG944" i="3"/>
  <c r="F944" i="3" l="1"/>
  <c r="G944" i="3"/>
  <c r="K944" i="3"/>
  <c r="AE944" i="3" s="1"/>
  <c r="I944" i="3" l="1"/>
  <c r="J944" i="3"/>
  <c r="AD944" i="3" s="1"/>
  <c r="M944" i="3"/>
  <c r="N944" i="3" s="1"/>
  <c r="V944" i="3"/>
  <c r="A945" i="3"/>
  <c r="B945" i="3" s="1"/>
  <c r="W944" i="3" l="1"/>
  <c r="L944" i="3"/>
  <c r="P945" i="3"/>
  <c r="Q945" i="3" s="1"/>
  <c r="R945" i="3" s="1"/>
  <c r="S945" i="3" s="1"/>
  <c r="AC945" i="3"/>
  <c r="Z945" i="3"/>
  <c r="AD945" i="3"/>
  <c r="AA945" i="3"/>
  <c r="U944" i="3" l="1"/>
  <c r="Y943" i="3"/>
  <c r="T945" i="3"/>
  <c r="D945" i="3" l="1"/>
  <c r="G945" i="3" s="1"/>
  <c r="AH945" i="3"/>
  <c r="E945" i="3"/>
  <c r="H945" i="3" s="1"/>
  <c r="AG945" i="3"/>
  <c r="F945" i="3" l="1"/>
  <c r="I945" i="3"/>
  <c r="J945" i="3"/>
  <c r="M945" i="3"/>
  <c r="N945" i="3" s="1"/>
  <c r="K945" i="3"/>
  <c r="AE945" i="3" s="1"/>
  <c r="V945" i="3" l="1"/>
  <c r="W945" i="3" s="1"/>
  <c r="A946" i="3"/>
  <c r="B946" i="3" s="1"/>
  <c r="L945" i="3"/>
  <c r="U945" i="3" l="1"/>
  <c r="Y944" i="3"/>
  <c r="P946" i="3"/>
  <c r="Q946" i="3" s="1"/>
  <c r="R946" i="3" s="1"/>
  <c r="S946" i="3" s="1"/>
  <c r="AC946" i="3"/>
  <c r="AA946" i="3"/>
  <c r="AD946" i="3"/>
  <c r="Z946" i="3"/>
  <c r="T946" i="3" l="1"/>
  <c r="E946" i="3" s="1"/>
  <c r="H946" i="3" s="1"/>
  <c r="K946" i="3" l="1"/>
  <c r="AE946" i="3" s="1"/>
  <c r="AG946" i="3"/>
  <c r="D946" i="3"/>
  <c r="AH946" i="3"/>
  <c r="F946" i="3" l="1"/>
  <c r="G946" i="3"/>
  <c r="V946" i="3"/>
  <c r="A947" i="3"/>
  <c r="B947" i="3" s="1"/>
  <c r="Z947" i="3" l="1"/>
  <c r="AC947" i="3"/>
  <c r="P947" i="3"/>
  <c r="Q947" i="3" s="1"/>
  <c r="R947" i="3" s="1"/>
  <c r="S947" i="3" s="1"/>
  <c r="AA947" i="3"/>
  <c r="I946" i="3"/>
  <c r="W946" i="3" s="1"/>
  <c r="J946" i="3"/>
  <c r="M946" i="3"/>
  <c r="N946" i="3" s="1"/>
  <c r="L946" i="3" l="1"/>
  <c r="T947" i="3"/>
  <c r="AH947" i="3" l="1"/>
  <c r="AG947" i="3"/>
  <c r="U946" i="3"/>
  <c r="E947" i="3" s="1"/>
  <c r="H947" i="3" s="1"/>
  <c r="Y945" i="3"/>
  <c r="D947" i="3" l="1"/>
  <c r="G947" i="3" s="1"/>
  <c r="K947" i="3"/>
  <c r="AE947" i="3" s="1"/>
  <c r="F947" i="3" l="1"/>
  <c r="V947" i="3"/>
  <c r="A948" i="3"/>
  <c r="B948" i="3" s="1"/>
  <c r="I947" i="3"/>
  <c r="J947" i="3"/>
  <c r="AD947" i="3" s="1"/>
  <c r="M947" i="3"/>
  <c r="N947" i="3" s="1"/>
  <c r="W947" i="3" l="1"/>
  <c r="L947" i="3"/>
  <c r="P948" i="3"/>
  <c r="Q948" i="3" s="1"/>
  <c r="R948" i="3" s="1"/>
  <c r="S948" i="3" s="1"/>
  <c r="AA948" i="3"/>
  <c r="AD948" i="3"/>
  <c r="Z948" i="3"/>
  <c r="AC948" i="3"/>
  <c r="U947" i="3" l="1"/>
  <c r="Y946" i="3"/>
  <c r="T948" i="3"/>
  <c r="AH948" i="3" s="1"/>
  <c r="AG948" i="3" l="1"/>
  <c r="E948" i="3"/>
  <c r="H948" i="3" s="1"/>
  <c r="D948" i="3"/>
  <c r="K948" i="3" l="1"/>
  <c r="AE948" i="3" s="1"/>
  <c r="F948" i="3"/>
  <c r="G948" i="3"/>
  <c r="I948" i="3" l="1"/>
  <c r="J948" i="3"/>
  <c r="M948" i="3"/>
  <c r="N948" i="3" s="1"/>
  <c r="V948" i="3"/>
  <c r="A949" i="3"/>
  <c r="B949" i="3" s="1"/>
  <c r="W948" i="3" l="1"/>
  <c r="L948" i="3"/>
  <c r="AD949" i="3"/>
  <c r="AA949" i="3"/>
  <c r="AC949" i="3"/>
  <c r="Z949" i="3"/>
  <c r="P949" i="3"/>
  <c r="Q949" i="3" s="1"/>
  <c r="R949" i="3" s="1"/>
  <c r="S949" i="3" s="1"/>
  <c r="U948" i="3" l="1"/>
  <c r="Y947" i="3"/>
  <c r="T949" i="3"/>
  <c r="AH949" i="3" s="1"/>
  <c r="AG949" i="3" l="1"/>
  <c r="D949" i="3"/>
  <c r="G949" i="3" s="1"/>
  <c r="E949" i="3"/>
  <c r="H949" i="3" s="1"/>
  <c r="K949" i="3" s="1"/>
  <c r="AE949" i="3" s="1"/>
  <c r="F949" i="3" l="1"/>
  <c r="I949" i="3"/>
  <c r="J949" i="3"/>
  <c r="M949" i="3"/>
  <c r="N949" i="3" s="1"/>
  <c r="V949" i="3"/>
  <c r="A950" i="3"/>
  <c r="B950" i="3" s="1"/>
  <c r="W949" i="3" l="1"/>
  <c r="L949" i="3"/>
  <c r="Z950" i="3"/>
  <c r="AC950" i="3"/>
  <c r="P950" i="3"/>
  <c r="Q950" i="3" s="1"/>
  <c r="R950" i="3" s="1"/>
  <c r="S950" i="3" s="1"/>
  <c r="AD950" i="3"/>
  <c r="AA950" i="3"/>
  <c r="T950" i="3" l="1"/>
  <c r="U949" i="3"/>
  <c r="Y948" i="3"/>
  <c r="D950" i="3" l="1"/>
  <c r="G950" i="3" s="1"/>
  <c r="AG950" i="3"/>
  <c r="E950" i="3"/>
  <c r="H950" i="3" s="1"/>
  <c r="K950" i="3" s="1"/>
  <c r="AE950" i="3" s="1"/>
  <c r="AH950" i="3"/>
  <c r="F950" i="3" l="1"/>
  <c r="I950" i="3"/>
  <c r="J950" i="3"/>
  <c r="M950" i="3"/>
  <c r="N950" i="3" s="1"/>
  <c r="V950" i="3"/>
  <c r="A951" i="3"/>
  <c r="B951" i="3" s="1"/>
  <c r="W950" i="3" l="1"/>
  <c r="P951" i="3"/>
  <c r="Q951" i="3" s="1"/>
  <c r="R951" i="3" s="1"/>
  <c r="S951" i="3" s="1"/>
  <c r="AA951" i="3"/>
  <c r="AC951" i="3"/>
  <c r="AD951" i="3"/>
  <c r="Z951" i="3"/>
  <c r="L950" i="3"/>
  <c r="T951" i="3" l="1"/>
  <c r="U950" i="3"/>
  <c r="Y949" i="3"/>
  <c r="D951" i="3" l="1"/>
  <c r="G951" i="3" s="1"/>
  <c r="AH951" i="3"/>
  <c r="AG951" i="3"/>
  <c r="E951" i="3"/>
  <c r="H951" i="3" s="1"/>
  <c r="K951" i="3" s="1"/>
  <c r="AE951" i="3" s="1"/>
  <c r="F951" i="3" l="1"/>
  <c r="I951" i="3"/>
  <c r="J951" i="3"/>
  <c r="M951" i="3"/>
  <c r="N951" i="3" s="1"/>
  <c r="V951" i="3"/>
  <c r="A952" i="3"/>
  <c r="B952" i="3" s="1"/>
  <c r="AC952" i="3" l="1"/>
  <c r="Z952" i="3"/>
  <c r="AD952" i="3"/>
  <c r="P952" i="3"/>
  <c r="Q952" i="3" s="1"/>
  <c r="R952" i="3" s="1"/>
  <c r="S952" i="3" s="1"/>
  <c r="AA952" i="3"/>
  <c r="W951" i="3"/>
  <c r="L951" i="3"/>
  <c r="U951" i="3" l="1"/>
  <c r="Y950" i="3"/>
  <c r="T952" i="3"/>
  <c r="D952" i="3" l="1"/>
  <c r="G952" i="3" s="1"/>
  <c r="E952" i="3"/>
  <c r="H952" i="3" s="1"/>
  <c r="AH952" i="3"/>
  <c r="AG952" i="3"/>
  <c r="F952" i="3" l="1"/>
  <c r="I952" i="3"/>
  <c r="J952" i="3"/>
  <c r="M952" i="3"/>
  <c r="N952" i="3" s="1"/>
  <c r="K952" i="3"/>
  <c r="AE952" i="3" s="1"/>
  <c r="V952" i="3" l="1"/>
  <c r="W952" i="3" s="1"/>
  <c r="A953" i="3"/>
  <c r="B953" i="3" s="1"/>
  <c r="L952" i="3"/>
  <c r="U952" i="3" l="1"/>
  <c r="Y951" i="3"/>
  <c r="Z953" i="3"/>
  <c r="AA953" i="3"/>
  <c r="AD953" i="3"/>
  <c r="P953" i="3"/>
  <c r="Q953" i="3" s="1"/>
  <c r="R953" i="3" s="1"/>
  <c r="S953" i="3" s="1"/>
  <c r="AC953" i="3"/>
  <c r="T953" i="3" l="1"/>
  <c r="AG953" i="3" s="1"/>
  <c r="E953" i="3" l="1"/>
  <c r="H953" i="3" s="1"/>
  <c r="K953" i="3" s="1"/>
  <c r="AE953" i="3" s="1"/>
  <c r="AH953" i="3"/>
  <c r="D953" i="3"/>
  <c r="G953" i="3" s="1"/>
  <c r="F953" i="3" l="1"/>
  <c r="I953" i="3"/>
  <c r="J953" i="3"/>
  <c r="M953" i="3"/>
  <c r="N953" i="3" s="1"/>
  <c r="V953" i="3"/>
  <c r="A954" i="3"/>
  <c r="B954" i="3" s="1"/>
  <c r="W953" i="3" l="1"/>
  <c r="L953" i="3"/>
  <c r="AA954" i="3"/>
  <c r="P954" i="3"/>
  <c r="Q954" i="3" s="1"/>
  <c r="R954" i="3" s="1"/>
  <c r="S954" i="3" s="1"/>
  <c r="AC954" i="3"/>
  <c r="Z954" i="3"/>
  <c r="T954" i="3" l="1"/>
  <c r="U953" i="3"/>
  <c r="Y952" i="3"/>
  <c r="E954" i="3" l="1"/>
  <c r="H954" i="3" s="1"/>
  <c r="K954" i="3" s="1"/>
  <c r="AE954" i="3" s="1"/>
  <c r="AG954" i="3"/>
  <c r="AH954" i="3"/>
  <c r="D954" i="3"/>
  <c r="G954" i="3" s="1"/>
  <c r="F954" i="3" l="1"/>
  <c r="V954" i="3"/>
  <c r="A955" i="3"/>
  <c r="B955" i="3" s="1"/>
  <c r="I954" i="3"/>
  <c r="J954" i="3"/>
  <c r="AD954" i="3" s="1"/>
  <c r="M954" i="3"/>
  <c r="N954" i="3" s="1"/>
  <c r="W954" i="3" l="1"/>
  <c r="L954" i="3"/>
  <c r="P955" i="3"/>
  <c r="Q955" i="3" s="1"/>
  <c r="R955" i="3" s="1"/>
  <c r="S955" i="3" s="1"/>
  <c r="AA955" i="3"/>
  <c r="AD955" i="3"/>
  <c r="AC955" i="3"/>
  <c r="Z955" i="3"/>
  <c r="U954" i="3" l="1"/>
  <c r="Y953" i="3"/>
  <c r="T955" i="3"/>
  <c r="AG955" i="3" s="1"/>
  <c r="AH955" i="3" l="1"/>
  <c r="D955" i="3"/>
  <c r="E955" i="3"/>
  <c r="H955" i="3" s="1"/>
  <c r="F955" i="3" l="1"/>
  <c r="G955" i="3"/>
  <c r="K955" i="3"/>
  <c r="AE955" i="3" s="1"/>
  <c r="I955" i="3" l="1"/>
  <c r="J955" i="3"/>
  <c r="M955" i="3"/>
  <c r="N955" i="3" s="1"/>
  <c r="V955" i="3"/>
  <c r="A956" i="3"/>
  <c r="B956" i="3" s="1"/>
  <c r="W955" i="3" l="1"/>
  <c r="L955" i="3"/>
  <c r="AA956" i="3"/>
  <c r="P956" i="3"/>
  <c r="Q956" i="3" s="1"/>
  <c r="R956" i="3" s="1"/>
  <c r="S956" i="3" s="1"/>
  <c r="Z956" i="3"/>
  <c r="AD956" i="3"/>
  <c r="AC956" i="3"/>
  <c r="U955" i="3" l="1"/>
  <c r="Y954" i="3"/>
  <c r="T956" i="3"/>
  <c r="AH956" i="3" s="1"/>
  <c r="AG956" i="3" l="1"/>
  <c r="E956" i="3"/>
  <c r="H956" i="3" s="1"/>
  <c r="K956" i="3" s="1"/>
  <c r="AE956" i="3" s="1"/>
  <c r="D956" i="3"/>
  <c r="V956" i="3" l="1"/>
  <c r="A957" i="3"/>
  <c r="B957" i="3" s="1"/>
  <c r="F956" i="3"/>
  <c r="G956" i="3"/>
  <c r="I956" i="3" l="1"/>
  <c r="W956" i="3" s="1"/>
  <c r="J956" i="3"/>
  <c r="M956" i="3"/>
  <c r="N956" i="3" s="1"/>
  <c r="AA957" i="3"/>
  <c r="Z957" i="3"/>
  <c r="P957" i="3"/>
  <c r="Q957" i="3" s="1"/>
  <c r="R957" i="3" s="1"/>
  <c r="S957" i="3" s="1"/>
  <c r="AC957" i="3"/>
  <c r="T957" i="3" l="1"/>
  <c r="L956" i="3"/>
  <c r="AG957" i="3" l="1"/>
  <c r="U956" i="3"/>
  <c r="E957" i="3" s="1"/>
  <c r="H957" i="3" s="1"/>
  <c r="AH957" i="3"/>
  <c r="Y955" i="3"/>
  <c r="D957" i="3" l="1"/>
  <c r="G957" i="3" s="1"/>
  <c r="K957" i="3"/>
  <c r="AE957" i="3" s="1"/>
  <c r="F957" i="3" l="1"/>
  <c r="I957" i="3"/>
  <c r="J957" i="3"/>
  <c r="AD957" i="3" s="1"/>
  <c r="M957" i="3"/>
  <c r="N957" i="3" s="1"/>
  <c r="V957" i="3"/>
  <c r="A958" i="3"/>
  <c r="B958" i="3" s="1"/>
  <c r="W957" i="3" l="1"/>
  <c r="L957" i="3"/>
  <c r="AC958" i="3"/>
  <c r="AA958" i="3"/>
  <c r="P958" i="3"/>
  <c r="Q958" i="3" s="1"/>
  <c r="R958" i="3" s="1"/>
  <c r="S958" i="3" s="1"/>
  <c r="Z958" i="3"/>
  <c r="AD958" i="3"/>
  <c r="T958" i="3" l="1"/>
  <c r="AH958" i="3" s="1"/>
  <c r="U957" i="3"/>
  <c r="Y956" i="3"/>
  <c r="AG958" i="3" l="1"/>
  <c r="D958" i="3"/>
  <c r="E958" i="3"/>
  <c r="H958" i="3" s="1"/>
  <c r="K958" i="3" l="1"/>
  <c r="AE958" i="3" s="1"/>
  <c r="F958" i="3"/>
  <c r="G958" i="3"/>
  <c r="V958" i="3" l="1"/>
  <c r="A959" i="3"/>
  <c r="B959" i="3" s="1"/>
  <c r="I958" i="3"/>
  <c r="J958" i="3"/>
  <c r="M958" i="3"/>
  <c r="N958" i="3" s="1"/>
  <c r="W958" i="3" l="1"/>
  <c r="L958" i="3"/>
  <c r="Z959" i="3"/>
  <c r="AC959" i="3"/>
  <c r="P959" i="3"/>
  <c r="Q959" i="3" s="1"/>
  <c r="R959" i="3" s="1"/>
  <c r="S959" i="3" s="1"/>
  <c r="AA959" i="3"/>
  <c r="AD959" i="3"/>
  <c r="T959" i="3" l="1"/>
  <c r="AH959" i="3" s="1"/>
  <c r="U958" i="3"/>
  <c r="Y957" i="3"/>
  <c r="AG959" i="3" l="1"/>
  <c r="E959" i="3"/>
  <c r="H959" i="3" s="1"/>
  <c r="K959" i="3" s="1"/>
  <c r="AE959" i="3" s="1"/>
  <c r="D959" i="3"/>
  <c r="F959" i="3" l="1"/>
  <c r="G959" i="3"/>
  <c r="V959" i="3"/>
  <c r="A960" i="3"/>
  <c r="B960" i="3" s="1"/>
  <c r="AD960" i="3" l="1"/>
  <c r="Z960" i="3"/>
  <c r="AA960" i="3"/>
  <c r="P960" i="3"/>
  <c r="Q960" i="3" s="1"/>
  <c r="R960" i="3" s="1"/>
  <c r="S960" i="3" s="1"/>
  <c r="AC960" i="3"/>
  <c r="I959" i="3"/>
  <c r="W959" i="3" s="1"/>
  <c r="J959" i="3"/>
  <c r="M959" i="3"/>
  <c r="N959" i="3" s="1"/>
  <c r="T960" i="3" l="1"/>
  <c r="L959" i="3"/>
  <c r="U959" i="3" l="1"/>
  <c r="E960" i="3" s="1"/>
  <c r="H960" i="3" s="1"/>
  <c r="AG960" i="3"/>
  <c r="AH960" i="3"/>
  <c r="Y958" i="3"/>
  <c r="D960" i="3" l="1"/>
  <c r="G960" i="3" s="1"/>
  <c r="K960" i="3"/>
  <c r="AE960" i="3" s="1"/>
  <c r="F960" i="3" l="1"/>
  <c r="I960" i="3"/>
  <c r="J960" i="3"/>
  <c r="M960" i="3"/>
  <c r="N960" i="3" s="1"/>
  <c r="V960" i="3"/>
  <c r="A961" i="3"/>
  <c r="B961" i="3" s="1"/>
  <c r="W960" i="3" l="1"/>
  <c r="P961" i="3"/>
  <c r="Q961" i="3" s="1"/>
  <c r="R961" i="3" s="1"/>
  <c r="S961" i="3" s="1"/>
  <c r="AD961" i="3"/>
  <c r="AC961" i="3"/>
  <c r="Z961" i="3"/>
  <c r="AA961" i="3"/>
  <c r="L960" i="3"/>
  <c r="U960" i="3" l="1"/>
  <c r="Y959" i="3"/>
  <c r="T961" i="3"/>
  <c r="D961" i="3" l="1"/>
  <c r="G961" i="3" s="1"/>
  <c r="AH961" i="3"/>
  <c r="AG961" i="3"/>
  <c r="E961" i="3"/>
  <c r="H961" i="3" s="1"/>
  <c r="K961" i="3" l="1"/>
  <c r="AE961" i="3" s="1"/>
  <c r="I961" i="3"/>
  <c r="J961" i="3"/>
  <c r="M961" i="3"/>
  <c r="N961" i="3" s="1"/>
  <c r="F961" i="3"/>
  <c r="L961" i="3" l="1"/>
  <c r="V961" i="3"/>
  <c r="W961" i="3" s="1"/>
  <c r="A962" i="3"/>
  <c r="B962" i="3" s="1"/>
  <c r="Z962" i="3" l="1"/>
  <c r="AA962" i="3"/>
  <c r="P962" i="3"/>
  <c r="Q962" i="3" s="1"/>
  <c r="R962" i="3" s="1"/>
  <c r="S962" i="3" s="1"/>
  <c r="AC962" i="3"/>
  <c r="AD962" i="3"/>
  <c r="U961" i="3"/>
  <c r="Y960" i="3"/>
  <c r="T962" i="3" l="1"/>
  <c r="E962" i="3" s="1"/>
  <c r="H962" i="3" s="1"/>
  <c r="AH962" i="3" l="1"/>
  <c r="K962" i="3"/>
  <c r="AE962" i="3" s="1"/>
  <c r="D962" i="3"/>
  <c r="AG962" i="3"/>
  <c r="V962" i="3" l="1"/>
  <c r="A963" i="3"/>
  <c r="B963" i="3" s="1"/>
  <c r="F962" i="3"/>
  <c r="G962" i="3"/>
  <c r="P963" i="3" l="1"/>
  <c r="Q963" i="3" s="1"/>
  <c r="R963" i="3" s="1"/>
  <c r="S963" i="3" s="1"/>
  <c r="AC963" i="3"/>
  <c r="Z963" i="3"/>
  <c r="AA963" i="3"/>
  <c r="AD963" i="3"/>
  <c r="I962" i="3"/>
  <c r="W962" i="3" s="1"/>
  <c r="J962" i="3"/>
  <c r="M962" i="3"/>
  <c r="N962" i="3" s="1"/>
  <c r="T963" i="3" l="1"/>
  <c r="L962" i="3"/>
  <c r="U962" i="3" l="1"/>
  <c r="E963" i="3" s="1"/>
  <c r="H963" i="3" s="1"/>
  <c r="AG963" i="3"/>
  <c r="AH963" i="3"/>
  <c r="Y961" i="3"/>
  <c r="D963" i="3" l="1"/>
  <c r="G963" i="3" s="1"/>
  <c r="K963" i="3"/>
  <c r="AE963" i="3" s="1"/>
  <c r="F963" i="3" l="1"/>
  <c r="I963" i="3"/>
  <c r="J963" i="3"/>
  <c r="M963" i="3"/>
  <c r="N963" i="3" s="1"/>
  <c r="V963" i="3"/>
  <c r="A964" i="3"/>
  <c r="B964" i="3" s="1"/>
  <c r="W963" i="3" l="1"/>
  <c r="L963" i="3"/>
  <c r="Z964" i="3"/>
  <c r="P964" i="3"/>
  <c r="Q964" i="3" s="1"/>
  <c r="R964" i="3" s="1"/>
  <c r="S964" i="3" s="1"/>
  <c r="AA964" i="3"/>
  <c r="AC964" i="3"/>
  <c r="U963" i="3" l="1"/>
  <c r="Y962" i="3"/>
  <c r="T964" i="3"/>
  <c r="D964" i="3" l="1"/>
  <c r="G964" i="3" s="1"/>
  <c r="E964" i="3"/>
  <c r="H964" i="3" s="1"/>
  <c r="K964" i="3" s="1"/>
  <c r="AE964" i="3" s="1"/>
  <c r="AH964" i="3"/>
  <c r="AG964" i="3"/>
  <c r="F964" i="3" l="1"/>
  <c r="I964" i="3"/>
  <c r="J964" i="3"/>
  <c r="AD964" i="3" s="1"/>
  <c r="M964" i="3"/>
  <c r="N964" i="3" s="1"/>
  <c r="V964" i="3"/>
  <c r="A965" i="3"/>
  <c r="B965" i="3" s="1"/>
  <c r="W964" i="3" l="1"/>
  <c r="L964" i="3"/>
  <c r="AC965" i="3"/>
  <c r="P965" i="3"/>
  <c r="Q965" i="3" s="1"/>
  <c r="R965" i="3" s="1"/>
  <c r="S965" i="3" s="1"/>
  <c r="AA965" i="3"/>
  <c r="Z965" i="3"/>
  <c r="U964" i="3" l="1"/>
  <c r="Y963" i="3"/>
  <c r="T965" i="3"/>
  <c r="AH965" i="3" s="1"/>
  <c r="AG965" i="3" l="1"/>
  <c r="E965" i="3"/>
  <c r="H965" i="3" s="1"/>
  <c r="D965" i="3"/>
  <c r="F965" i="3" l="1"/>
  <c r="G965" i="3"/>
  <c r="K965" i="3"/>
  <c r="AE965" i="3" s="1"/>
  <c r="V965" i="3" l="1"/>
  <c r="A966" i="3"/>
  <c r="B966" i="3" s="1"/>
  <c r="I965" i="3"/>
  <c r="J965" i="3"/>
  <c r="AD965" i="3" s="1"/>
  <c r="M965" i="3"/>
  <c r="N965" i="3" s="1"/>
  <c r="L965" i="3" l="1"/>
  <c r="P966" i="3"/>
  <c r="Q966" i="3" s="1"/>
  <c r="R966" i="3" s="1"/>
  <c r="S966" i="3" s="1"/>
  <c r="AA966" i="3"/>
  <c r="Z966" i="3"/>
  <c r="AC966" i="3"/>
  <c r="W965" i="3"/>
  <c r="T966" i="3" l="1"/>
  <c r="AG966" i="3" s="1"/>
  <c r="U965" i="3"/>
  <c r="Y964" i="3"/>
  <c r="E966" i="3" l="1"/>
  <c r="H966" i="3" s="1"/>
  <c r="D966" i="3"/>
  <c r="AH966" i="3"/>
  <c r="K966" i="3" l="1"/>
  <c r="AE966" i="3" s="1"/>
  <c r="F966" i="3"/>
  <c r="G966" i="3"/>
  <c r="I966" i="3" l="1"/>
  <c r="J966" i="3"/>
  <c r="AD966" i="3" s="1"/>
  <c r="M966" i="3"/>
  <c r="N966" i="3" s="1"/>
  <c r="V966" i="3"/>
  <c r="A967" i="3"/>
  <c r="B967" i="3" s="1"/>
  <c r="W966" i="3" l="1"/>
  <c r="L966" i="3"/>
  <c r="AA967" i="3"/>
  <c r="P967" i="3"/>
  <c r="Q967" i="3" s="1"/>
  <c r="R967" i="3" s="1"/>
  <c r="S967" i="3" s="1"/>
  <c r="AC967" i="3"/>
  <c r="Z967" i="3"/>
  <c r="U966" i="3" l="1"/>
  <c r="Y965" i="3"/>
  <c r="T967" i="3"/>
  <c r="E967" i="3" l="1"/>
  <c r="H967" i="3" s="1"/>
  <c r="K967" i="3" s="1"/>
  <c r="AE967" i="3" s="1"/>
  <c r="AH967" i="3"/>
  <c r="AG967" i="3"/>
  <c r="D967" i="3"/>
  <c r="V967" i="3" l="1"/>
  <c r="A968" i="3"/>
  <c r="B968" i="3" s="1"/>
  <c r="F967" i="3"/>
  <c r="G967" i="3"/>
  <c r="I967" i="3" l="1"/>
  <c r="W967" i="3" s="1"/>
  <c r="J967" i="3"/>
  <c r="AD967" i="3" s="1"/>
  <c r="M967" i="3"/>
  <c r="N967" i="3" s="1"/>
  <c r="Z968" i="3"/>
  <c r="AA968" i="3"/>
  <c r="P968" i="3"/>
  <c r="Q968" i="3" s="1"/>
  <c r="R968" i="3" s="1"/>
  <c r="S968" i="3" s="1"/>
  <c r="AC968" i="3"/>
  <c r="L967" i="3" l="1"/>
  <c r="T968" i="3"/>
  <c r="AH968" i="3" l="1"/>
  <c r="AG968" i="3"/>
  <c r="U967" i="3"/>
  <c r="E968" i="3" s="1"/>
  <c r="H968" i="3" s="1"/>
  <c r="Y966" i="3"/>
  <c r="K968" i="3" l="1"/>
  <c r="AE968" i="3" s="1"/>
  <c r="D968" i="3"/>
  <c r="V968" i="3" l="1"/>
  <c r="A969" i="3"/>
  <c r="B969" i="3" s="1"/>
  <c r="F968" i="3"/>
  <c r="G968" i="3"/>
  <c r="I968" i="3" l="1"/>
  <c r="W968" i="3" s="1"/>
  <c r="J968" i="3"/>
  <c r="AD968" i="3" s="1"/>
  <c r="M968" i="3"/>
  <c r="N968" i="3" s="1"/>
  <c r="AA969" i="3"/>
  <c r="Z969" i="3"/>
  <c r="P969" i="3"/>
  <c r="Q969" i="3" s="1"/>
  <c r="R969" i="3" s="1"/>
  <c r="S969" i="3" s="1"/>
  <c r="AC969" i="3"/>
  <c r="T969" i="3" l="1"/>
  <c r="L968" i="3"/>
  <c r="AH969" i="3" l="1"/>
  <c r="U968" i="3"/>
  <c r="D969" i="3" s="1"/>
  <c r="AG969" i="3"/>
  <c r="Y967" i="3"/>
  <c r="G969" i="3" l="1"/>
  <c r="E969" i="3"/>
  <c r="H969" i="3" s="1"/>
  <c r="F969" i="3" l="1"/>
  <c r="I969" i="3"/>
  <c r="J969" i="3"/>
  <c r="AD969" i="3" s="1"/>
  <c r="M969" i="3"/>
  <c r="N969" i="3" s="1"/>
  <c r="K969" i="3"/>
  <c r="AE969" i="3" s="1"/>
  <c r="V969" i="3" l="1"/>
  <c r="W969" i="3" s="1"/>
  <c r="A970" i="3"/>
  <c r="B970" i="3" s="1"/>
  <c r="L969" i="3"/>
  <c r="U969" i="3" l="1"/>
  <c r="Y968" i="3"/>
  <c r="AA970" i="3"/>
  <c r="P970" i="3"/>
  <c r="Q970" i="3" s="1"/>
  <c r="R970" i="3" s="1"/>
  <c r="S970" i="3" s="1"/>
  <c r="AC970" i="3"/>
  <c r="Z970" i="3"/>
  <c r="T970" i="3" l="1"/>
  <c r="E970" i="3" s="1"/>
  <c r="H970" i="3" s="1"/>
  <c r="AH970" i="3" l="1"/>
  <c r="K970" i="3"/>
  <c r="AE970" i="3" s="1"/>
  <c r="D970" i="3"/>
  <c r="AG970" i="3"/>
  <c r="V970" i="3" l="1"/>
  <c r="A971" i="3"/>
  <c r="B971" i="3" s="1"/>
  <c r="F970" i="3"/>
  <c r="G970" i="3"/>
  <c r="I970" i="3" l="1"/>
  <c r="W970" i="3" s="1"/>
  <c r="J970" i="3"/>
  <c r="AD970" i="3" s="1"/>
  <c r="M970" i="3"/>
  <c r="N970" i="3" s="1"/>
  <c r="P971" i="3"/>
  <c r="Q971" i="3" s="1"/>
  <c r="R971" i="3" s="1"/>
  <c r="S971" i="3" s="1"/>
  <c r="Z971" i="3"/>
  <c r="AC971" i="3"/>
  <c r="AA971" i="3"/>
  <c r="T971" i="3" l="1"/>
  <c r="L970" i="3"/>
  <c r="U970" i="3" l="1"/>
  <c r="E971" i="3" s="1"/>
  <c r="H971" i="3" s="1"/>
  <c r="AH971" i="3"/>
  <c r="AG971" i="3"/>
  <c r="Y969" i="3"/>
  <c r="K971" i="3" l="1"/>
  <c r="AE971" i="3" s="1"/>
  <c r="D971" i="3"/>
  <c r="V971" i="3" l="1"/>
  <c r="A972" i="3"/>
  <c r="B972" i="3" s="1"/>
  <c r="F971" i="3"/>
  <c r="G971" i="3"/>
  <c r="I971" i="3" l="1"/>
  <c r="W971" i="3" s="1"/>
  <c r="J971" i="3"/>
  <c r="AD971" i="3" s="1"/>
  <c r="M971" i="3"/>
  <c r="N971" i="3" s="1"/>
  <c r="AC972" i="3"/>
  <c r="Z972" i="3"/>
  <c r="P972" i="3"/>
  <c r="Q972" i="3" s="1"/>
  <c r="R972" i="3" s="1"/>
  <c r="S972" i="3" s="1"/>
  <c r="AA972" i="3"/>
  <c r="T972" i="3" l="1"/>
  <c r="L971" i="3"/>
  <c r="U971" i="3" l="1"/>
  <c r="D972" i="3" s="1"/>
  <c r="AH972" i="3"/>
  <c r="AG972" i="3"/>
  <c r="Y970" i="3"/>
  <c r="E972" i="3" l="1"/>
  <c r="H972" i="3" s="1"/>
  <c r="K972" i="3" s="1"/>
  <c r="AE972" i="3" s="1"/>
  <c r="G972" i="3"/>
  <c r="F972" i="3" l="1"/>
  <c r="V972" i="3"/>
  <c r="A973" i="3"/>
  <c r="B973" i="3" s="1"/>
  <c r="I972" i="3"/>
  <c r="J972" i="3"/>
  <c r="AD972" i="3" s="1"/>
  <c r="M972" i="3"/>
  <c r="N972" i="3" s="1"/>
  <c r="W972" i="3" l="1"/>
  <c r="L972" i="3"/>
  <c r="AC973" i="3"/>
  <c r="P973" i="3"/>
  <c r="Q973" i="3" s="1"/>
  <c r="R973" i="3" s="1"/>
  <c r="S973" i="3" s="1"/>
  <c r="Z973" i="3"/>
  <c r="AA973" i="3"/>
  <c r="U972" i="3" l="1"/>
  <c r="Y971" i="3"/>
  <c r="T973" i="3"/>
  <c r="AG973" i="3" s="1"/>
  <c r="D973" i="3" l="1"/>
  <c r="G973" i="3" s="1"/>
  <c r="E973" i="3"/>
  <c r="H973" i="3" s="1"/>
  <c r="K973" i="3" s="1"/>
  <c r="AE973" i="3" s="1"/>
  <c r="AH973" i="3"/>
  <c r="F973" i="3" l="1"/>
  <c r="I973" i="3"/>
  <c r="J973" i="3"/>
  <c r="AD973" i="3" s="1"/>
  <c r="M973" i="3"/>
  <c r="N973" i="3" s="1"/>
  <c r="V973" i="3"/>
  <c r="A974" i="3"/>
  <c r="B974" i="3" s="1"/>
  <c r="W973" i="3" l="1"/>
  <c r="L973" i="3"/>
  <c r="P974" i="3"/>
  <c r="Q974" i="3" s="1"/>
  <c r="R974" i="3" s="1"/>
  <c r="S974" i="3" s="1"/>
  <c r="AA974" i="3"/>
  <c r="Z974" i="3"/>
  <c r="AC974" i="3"/>
  <c r="T974" i="3" l="1"/>
  <c r="AG974" i="3" s="1"/>
  <c r="U973" i="3"/>
  <c r="Y972" i="3"/>
  <c r="AH974" i="3" l="1"/>
  <c r="E974" i="3"/>
  <c r="H974" i="3" s="1"/>
  <c r="D974" i="3"/>
  <c r="K974" i="3" l="1"/>
  <c r="AE974" i="3" s="1"/>
  <c r="F974" i="3"/>
  <c r="G974" i="3"/>
  <c r="I974" i="3" l="1"/>
  <c r="J974" i="3"/>
  <c r="AD974" i="3" s="1"/>
  <c r="M974" i="3"/>
  <c r="N974" i="3" s="1"/>
  <c r="V974" i="3"/>
  <c r="A975" i="3"/>
  <c r="B975" i="3" s="1"/>
  <c r="W974" i="3" l="1"/>
  <c r="L974" i="3"/>
  <c r="AD975" i="3"/>
  <c r="P975" i="3"/>
  <c r="Q975" i="3" s="1"/>
  <c r="R975" i="3" s="1"/>
  <c r="S975" i="3" s="1"/>
  <c r="AC975" i="3"/>
  <c r="Z975" i="3"/>
  <c r="AA975" i="3"/>
  <c r="U974" i="3" l="1"/>
  <c r="Y973" i="3"/>
  <c r="T975" i="3"/>
  <c r="D975" i="3" l="1"/>
  <c r="G975" i="3" s="1"/>
  <c r="AH975" i="3"/>
  <c r="E975" i="3"/>
  <c r="H975" i="3" s="1"/>
  <c r="K975" i="3" s="1"/>
  <c r="AE975" i="3" s="1"/>
  <c r="AG975" i="3"/>
  <c r="F975" i="3" l="1"/>
  <c r="V975" i="3"/>
  <c r="A976" i="3"/>
  <c r="B976" i="3" s="1"/>
  <c r="I975" i="3"/>
  <c r="J975" i="3"/>
  <c r="M975" i="3"/>
  <c r="N975" i="3" s="1"/>
  <c r="W975" i="3" l="1"/>
  <c r="L975" i="3"/>
  <c r="AA976" i="3"/>
  <c r="AC976" i="3"/>
  <c r="Z976" i="3"/>
  <c r="AD976" i="3"/>
  <c r="P976" i="3"/>
  <c r="Q976" i="3" s="1"/>
  <c r="R976" i="3" s="1"/>
  <c r="S976" i="3" s="1"/>
  <c r="U975" i="3" l="1"/>
  <c r="Y974" i="3"/>
  <c r="T976" i="3"/>
  <c r="AG976" i="3" s="1"/>
  <c r="AH976" i="3" l="1"/>
  <c r="E976" i="3"/>
  <c r="H976" i="3" s="1"/>
  <c r="D976" i="3"/>
  <c r="K976" i="3" l="1"/>
  <c r="AE976" i="3" s="1"/>
  <c r="F976" i="3"/>
  <c r="G976" i="3"/>
  <c r="I976" i="3" l="1"/>
  <c r="J976" i="3"/>
  <c r="M976" i="3"/>
  <c r="N976" i="3" s="1"/>
  <c r="V976" i="3"/>
  <c r="A977" i="3"/>
  <c r="B977" i="3" s="1"/>
  <c r="W976" i="3" l="1"/>
  <c r="L976" i="3"/>
  <c r="Z977" i="3"/>
  <c r="P977" i="3"/>
  <c r="Q977" i="3" s="1"/>
  <c r="R977" i="3" s="1"/>
  <c r="S977" i="3" s="1"/>
  <c r="AC977" i="3"/>
  <c r="AA977" i="3"/>
  <c r="T977" i="3" l="1"/>
  <c r="U976" i="3"/>
  <c r="Y975" i="3"/>
  <c r="E977" i="3" l="1"/>
  <c r="H977" i="3" s="1"/>
  <c r="K977" i="3" s="1"/>
  <c r="AE977" i="3" s="1"/>
  <c r="AG977" i="3"/>
  <c r="D977" i="3"/>
  <c r="G977" i="3" s="1"/>
  <c r="AH977" i="3"/>
  <c r="F977" i="3" l="1"/>
  <c r="I977" i="3"/>
  <c r="J977" i="3"/>
  <c r="AD977" i="3" s="1"/>
  <c r="M977" i="3"/>
  <c r="N977" i="3" s="1"/>
  <c r="V977" i="3"/>
  <c r="A978" i="3"/>
  <c r="B978" i="3" s="1"/>
  <c r="W977" i="3" l="1"/>
  <c r="L977" i="3"/>
  <c r="AC978" i="3"/>
  <c r="AD978" i="3"/>
  <c r="Z978" i="3"/>
  <c r="AA978" i="3"/>
  <c r="P978" i="3"/>
  <c r="Q978" i="3" s="1"/>
  <c r="R978" i="3" s="1"/>
  <c r="S978" i="3" s="1"/>
  <c r="T978" i="3" l="1"/>
  <c r="U977" i="3"/>
  <c r="Y976" i="3"/>
  <c r="D978" i="3" l="1"/>
  <c r="G978" i="3" s="1"/>
  <c r="E978" i="3"/>
  <c r="H978" i="3" s="1"/>
  <c r="K978" i="3" s="1"/>
  <c r="AE978" i="3" s="1"/>
  <c r="AH978" i="3"/>
  <c r="AG978" i="3"/>
  <c r="F978" i="3" l="1"/>
  <c r="I978" i="3"/>
  <c r="J978" i="3"/>
  <c r="M978" i="3"/>
  <c r="N978" i="3" s="1"/>
  <c r="V978" i="3"/>
  <c r="A979" i="3"/>
  <c r="B979" i="3" s="1"/>
  <c r="W978" i="3" l="1"/>
  <c r="L978" i="3"/>
  <c r="AC979" i="3"/>
  <c r="AA979" i="3"/>
  <c r="AD979" i="3"/>
  <c r="Z979" i="3"/>
  <c r="P979" i="3"/>
  <c r="Q979" i="3" s="1"/>
  <c r="R979" i="3" s="1"/>
  <c r="S979" i="3" s="1"/>
  <c r="T979" i="3" l="1"/>
  <c r="U978" i="3"/>
  <c r="Y977" i="3"/>
  <c r="D979" i="3" l="1"/>
  <c r="G979" i="3" s="1"/>
  <c r="AH979" i="3"/>
  <c r="E979" i="3"/>
  <c r="H979" i="3" s="1"/>
  <c r="K979" i="3" s="1"/>
  <c r="AE979" i="3" s="1"/>
  <c r="AG979" i="3"/>
  <c r="F979" i="3" l="1"/>
  <c r="V979" i="3"/>
  <c r="A980" i="3"/>
  <c r="B980" i="3" s="1"/>
  <c r="I979" i="3"/>
  <c r="J979" i="3"/>
  <c r="M979" i="3"/>
  <c r="N979" i="3" s="1"/>
  <c r="W979" i="3" l="1"/>
  <c r="L979" i="3"/>
  <c r="P980" i="3"/>
  <c r="Q980" i="3" s="1"/>
  <c r="R980" i="3" s="1"/>
  <c r="S980" i="3" s="1"/>
  <c r="AA980" i="3"/>
  <c r="AD980" i="3"/>
  <c r="AC980" i="3"/>
  <c r="Z980" i="3"/>
  <c r="U979" i="3" l="1"/>
  <c r="Y978" i="3"/>
  <c r="T980" i="3"/>
  <c r="AH980" i="3" s="1"/>
  <c r="D980" i="3" l="1"/>
  <c r="G980" i="3" s="1"/>
  <c r="E980" i="3"/>
  <c r="H980" i="3" s="1"/>
  <c r="K980" i="3" s="1"/>
  <c r="AE980" i="3" s="1"/>
  <c r="AG980" i="3"/>
  <c r="F980" i="3" l="1"/>
  <c r="I980" i="3"/>
  <c r="J980" i="3"/>
  <c r="M980" i="3"/>
  <c r="N980" i="3" s="1"/>
  <c r="V980" i="3"/>
  <c r="A981" i="3"/>
  <c r="B981" i="3" s="1"/>
  <c r="W980" i="3" l="1"/>
  <c r="L980" i="3"/>
  <c r="AD981" i="3"/>
  <c r="AA981" i="3"/>
  <c r="AC981" i="3"/>
  <c r="Z981" i="3"/>
  <c r="P981" i="3"/>
  <c r="Q981" i="3" s="1"/>
  <c r="R981" i="3" s="1"/>
  <c r="S981" i="3" s="1"/>
  <c r="U980" i="3" l="1"/>
  <c r="Y979" i="3"/>
  <c r="T981" i="3"/>
  <c r="AH981" i="3" s="1"/>
  <c r="D981" i="3" l="1"/>
  <c r="G981" i="3" s="1"/>
  <c r="AG981" i="3"/>
  <c r="E981" i="3"/>
  <c r="H981" i="3" s="1"/>
  <c r="F981" i="3" l="1"/>
  <c r="I981" i="3"/>
  <c r="J981" i="3"/>
  <c r="M981" i="3"/>
  <c r="N981" i="3" s="1"/>
  <c r="K981" i="3"/>
  <c r="AE981" i="3" s="1"/>
  <c r="V981" i="3" l="1"/>
  <c r="W981" i="3" s="1"/>
  <c r="A982" i="3"/>
  <c r="B982" i="3" s="1"/>
  <c r="L981" i="3"/>
  <c r="U981" i="3" l="1"/>
  <c r="Y980" i="3"/>
  <c r="P982" i="3"/>
  <c r="Q982" i="3" s="1"/>
  <c r="R982" i="3" s="1"/>
  <c r="S982" i="3" s="1"/>
  <c r="AD982" i="3"/>
  <c r="AC982" i="3"/>
  <c r="AA982" i="3"/>
  <c r="Z982" i="3"/>
  <c r="T982" i="3" l="1"/>
  <c r="E982" i="3" s="1"/>
  <c r="H982" i="3" s="1"/>
  <c r="AG982" i="3" l="1"/>
  <c r="AH982" i="3"/>
  <c r="D982" i="3"/>
  <c r="G982" i="3" s="1"/>
  <c r="K982" i="3"/>
  <c r="AE982" i="3" s="1"/>
  <c r="F982" i="3" l="1"/>
  <c r="I982" i="3"/>
  <c r="J982" i="3"/>
  <c r="M982" i="3"/>
  <c r="N982" i="3" s="1"/>
  <c r="V982" i="3"/>
  <c r="A983" i="3"/>
  <c r="B983" i="3" s="1"/>
  <c r="W982" i="3" l="1"/>
  <c r="L982" i="3"/>
  <c r="AD983" i="3"/>
  <c r="Z983" i="3"/>
  <c r="P983" i="3"/>
  <c r="Q983" i="3" s="1"/>
  <c r="R983" i="3" s="1"/>
  <c r="S983" i="3" s="1"/>
  <c r="AA983" i="3"/>
  <c r="AC983" i="3"/>
  <c r="U982" i="3" l="1"/>
  <c r="Y981" i="3"/>
  <c r="T983" i="3"/>
  <c r="AG983" i="3" s="1"/>
  <c r="E983" i="3" l="1"/>
  <c r="H983" i="3" s="1"/>
  <c r="K983" i="3" s="1"/>
  <c r="AE983" i="3" s="1"/>
  <c r="D983" i="3"/>
  <c r="AH983" i="3"/>
  <c r="F983" i="3" l="1"/>
  <c r="G983" i="3"/>
  <c r="M983" i="3" s="1"/>
  <c r="N983" i="3" s="1"/>
  <c r="V983" i="3"/>
  <c r="A984" i="3"/>
  <c r="B984" i="3" s="1"/>
  <c r="I983" i="3" l="1"/>
  <c r="W983" i="3" s="1"/>
  <c r="J983" i="3"/>
  <c r="L983" i="3" s="1"/>
  <c r="P984" i="3"/>
  <c r="Q984" i="3" s="1"/>
  <c r="R984" i="3" s="1"/>
  <c r="S984" i="3" s="1"/>
  <c r="AA984" i="3"/>
  <c r="Z984" i="3"/>
  <c r="AC984" i="3"/>
  <c r="U983" i="3" l="1"/>
  <c r="Y982" i="3"/>
  <c r="T984" i="3"/>
  <c r="E984" i="3" l="1"/>
  <c r="H984" i="3" s="1"/>
  <c r="K984" i="3" s="1"/>
  <c r="AE984" i="3" s="1"/>
  <c r="AG984" i="3"/>
  <c r="D984" i="3"/>
  <c r="AH984" i="3"/>
  <c r="F984" i="3" l="1"/>
  <c r="G984" i="3"/>
  <c r="V984" i="3"/>
  <c r="A985" i="3"/>
  <c r="B985" i="3" s="1"/>
  <c r="AA985" i="3" l="1"/>
  <c r="Z985" i="3"/>
  <c r="P985" i="3"/>
  <c r="Q985" i="3" s="1"/>
  <c r="R985" i="3" s="1"/>
  <c r="S985" i="3" s="1"/>
  <c r="AD985" i="3"/>
  <c r="AC985" i="3"/>
  <c r="I984" i="3"/>
  <c r="W984" i="3" s="1"/>
  <c r="J984" i="3"/>
  <c r="AD984" i="3" s="1"/>
  <c r="M984" i="3"/>
  <c r="N984" i="3" s="1"/>
  <c r="T985" i="3" l="1"/>
  <c r="L984" i="3"/>
  <c r="AG985" i="3" l="1"/>
  <c r="AH985" i="3"/>
  <c r="U984" i="3"/>
  <c r="D985" i="3" s="1"/>
  <c r="Y983" i="3"/>
  <c r="G985" i="3" l="1"/>
  <c r="E985" i="3"/>
  <c r="H985" i="3" s="1"/>
  <c r="I985" i="3" l="1"/>
  <c r="J985" i="3"/>
  <c r="M985" i="3"/>
  <c r="N985" i="3" s="1"/>
  <c r="F985" i="3"/>
  <c r="K985" i="3"/>
  <c r="AE985" i="3" s="1"/>
  <c r="L985" i="3" l="1"/>
  <c r="V985" i="3"/>
  <c r="W985" i="3" s="1"/>
  <c r="A986" i="3"/>
  <c r="B986" i="3" s="1"/>
  <c r="U985" i="3" l="1"/>
  <c r="Y984" i="3"/>
  <c r="AC986" i="3"/>
  <c r="P986" i="3"/>
  <c r="Q986" i="3" s="1"/>
  <c r="R986" i="3" s="1"/>
  <c r="S986" i="3" s="1"/>
  <c r="Z986" i="3"/>
  <c r="AD986" i="3"/>
  <c r="AA986" i="3"/>
  <c r="T986" i="3" l="1"/>
  <c r="E986" i="3" s="1"/>
  <c r="H986" i="3" s="1"/>
  <c r="AG986" i="3" l="1"/>
  <c r="K986" i="3"/>
  <c r="AE986" i="3" s="1"/>
  <c r="AH986" i="3"/>
  <c r="D986" i="3"/>
  <c r="F986" i="3" l="1"/>
  <c r="G986" i="3"/>
  <c r="V986" i="3"/>
  <c r="A987" i="3"/>
  <c r="B987" i="3" s="1"/>
  <c r="Z987" i="3" l="1"/>
  <c r="AC987" i="3"/>
  <c r="P987" i="3"/>
  <c r="Q987" i="3" s="1"/>
  <c r="R987" i="3" s="1"/>
  <c r="S987" i="3" s="1"/>
  <c r="AA987" i="3"/>
  <c r="I986" i="3"/>
  <c r="W986" i="3" s="1"/>
  <c r="J986" i="3"/>
  <c r="M986" i="3"/>
  <c r="N986" i="3" s="1"/>
  <c r="L986" i="3" l="1"/>
  <c r="T987" i="3"/>
  <c r="U986" i="3" l="1"/>
  <c r="E987" i="3" s="1"/>
  <c r="H987" i="3" s="1"/>
  <c r="AH987" i="3"/>
  <c r="AG987" i="3"/>
  <c r="Y985" i="3"/>
  <c r="K987" i="3" l="1"/>
  <c r="AE987" i="3" s="1"/>
  <c r="D987" i="3"/>
  <c r="V987" i="3" l="1"/>
  <c r="A988" i="3"/>
  <c r="B988" i="3" s="1"/>
  <c r="F987" i="3"/>
  <c r="G987" i="3"/>
  <c r="I987" i="3" l="1"/>
  <c r="W987" i="3" s="1"/>
  <c r="J987" i="3"/>
  <c r="AD987" i="3" s="1"/>
  <c r="M987" i="3"/>
  <c r="N987" i="3" s="1"/>
  <c r="AC988" i="3"/>
  <c r="Z988" i="3"/>
  <c r="AD988" i="3"/>
  <c r="AA988" i="3"/>
  <c r="P988" i="3"/>
  <c r="Q988" i="3" s="1"/>
  <c r="R988" i="3" s="1"/>
  <c r="S988" i="3" s="1"/>
  <c r="L987" i="3" l="1"/>
  <c r="T988" i="3"/>
  <c r="AH988" i="3" l="1"/>
  <c r="U987" i="3"/>
  <c r="E988" i="3" s="1"/>
  <c r="H988" i="3" s="1"/>
  <c r="AG988" i="3"/>
  <c r="Y986" i="3"/>
  <c r="D988" i="3" l="1"/>
  <c r="G988" i="3" s="1"/>
  <c r="K988" i="3"/>
  <c r="AE988" i="3" s="1"/>
  <c r="F988" i="3" l="1"/>
  <c r="I988" i="3"/>
  <c r="J988" i="3"/>
  <c r="M988" i="3"/>
  <c r="N988" i="3" s="1"/>
  <c r="V988" i="3"/>
  <c r="A989" i="3"/>
  <c r="B989" i="3" s="1"/>
  <c r="W988" i="3" l="1"/>
  <c r="L988" i="3"/>
  <c r="AC989" i="3"/>
  <c r="AD989" i="3"/>
  <c r="P989" i="3"/>
  <c r="Q989" i="3" s="1"/>
  <c r="R989" i="3" s="1"/>
  <c r="S989" i="3" s="1"/>
  <c r="Z989" i="3"/>
  <c r="AA989" i="3"/>
  <c r="T989" i="3" l="1"/>
  <c r="U988" i="3"/>
  <c r="Y987" i="3"/>
  <c r="D989" i="3" l="1"/>
  <c r="G989" i="3" s="1"/>
  <c r="AG989" i="3"/>
  <c r="E989" i="3"/>
  <c r="H989" i="3" s="1"/>
  <c r="AH989" i="3"/>
  <c r="F989" i="3" l="1"/>
  <c r="I989" i="3"/>
  <c r="J989" i="3"/>
  <c r="M989" i="3"/>
  <c r="N989" i="3" s="1"/>
  <c r="K989" i="3"/>
  <c r="AE989" i="3" s="1"/>
  <c r="L989" i="3" l="1"/>
  <c r="V989" i="3"/>
  <c r="W989" i="3" s="1"/>
  <c r="A990" i="3"/>
  <c r="B990" i="3" s="1"/>
  <c r="U989" i="3" l="1"/>
  <c r="Y988" i="3"/>
  <c r="AC990" i="3"/>
  <c r="AD990" i="3"/>
  <c r="AA990" i="3"/>
  <c r="Z990" i="3"/>
  <c r="P990" i="3"/>
  <c r="Q990" i="3" s="1"/>
  <c r="R990" i="3" s="1"/>
  <c r="S990" i="3" s="1"/>
  <c r="T990" i="3" l="1"/>
  <c r="E990" i="3" s="1"/>
  <c r="H990" i="3" s="1"/>
  <c r="AH990" i="3" l="1"/>
  <c r="D990" i="3"/>
  <c r="G990" i="3" s="1"/>
  <c r="AG990" i="3"/>
  <c r="K990" i="3"/>
  <c r="AE990" i="3" s="1"/>
  <c r="F990" i="3" l="1"/>
  <c r="V990" i="3"/>
  <c r="A991" i="3"/>
  <c r="B991" i="3" s="1"/>
  <c r="I990" i="3"/>
  <c r="J990" i="3"/>
  <c r="M990" i="3"/>
  <c r="N990" i="3" s="1"/>
  <c r="L990" i="3" l="1"/>
  <c r="W990" i="3"/>
  <c r="AA991" i="3"/>
  <c r="AD991" i="3"/>
  <c r="P991" i="3"/>
  <c r="Q991" i="3" s="1"/>
  <c r="R991" i="3" s="1"/>
  <c r="S991" i="3" s="1"/>
  <c r="Z991" i="3"/>
  <c r="AC991" i="3"/>
  <c r="U990" i="3" l="1"/>
  <c r="Y989" i="3"/>
  <c r="T991" i="3"/>
  <c r="D991" i="3" l="1"/>
  <c r="G991" i="3" s="1"/>
  <c r="E991" i="3"/>
  <c r="H991" i="3" s="1"/>
  <c r="K991" i="3" s="1"/>
  <c r="AE991" i="3" s="1"/>
  <c r="AG991" i="3"/>
  <c r="AH991" i="3"/>
  <c r="F991" i="3" l="1"/>
  <c r="V991" i="3"/>
  <c r="A992" i="3"/>
  <c r="B992" i="3" s="1"/>
  <c r="I991" i="3"/>
  <c r="J991" i="3"/>
  <c r="M991" i="3"/>
  <c r="N991" i="3" s="1"/>
  <c r="W991" i="3" l="1"/>
  <c r="L991" i="3"/>
  <c r="AC992" i="3"/>
  <c r="AD992" i="3"/>
  <c r="Z992" i="3"/>
  <c r="AA992" i="3"/>
  <c r="P992" i="3"/>
  <c r="Q992" i="3" s="1"/>
  <c r="R992" i="3" s="1"/>
  <c r="S992" i="3" s="1"/>
  <c r="U991" i="3" l="1"/>
  <c r="Y990" i="3"/>
  <c r="T992" i="3"/>
  <c r="AG992" i="3" s="1"/>
  <c r="D992" i="3" l="1"/>
  <c r="AH992" i="3"/>
  <c r="E992" i="3"/>
  <c r="H992" i="3" s="1"/>
  <c r="K992" i="3" s="1"/>
  <c r="AE992" i="3" s="1"/>
  <c r="F992" i="3" l="1"/>
  <c r="G992" i="3"/>
  <c r="M992" i="3" s="1"/>
  <c r="N992" i="3" s="1"/>
  <c r="V992" i="3"/>
  <c r="A993" i="3"/>
  <c r="B993" i="3" s="1"/>
  <c r="I992" i="3" l="1"/>
  <c r="W992" i="3" s="1"/>
  <c r="J992" i="3"/>
  <c r="L992" i="3" s="1"/>
  <c r="AD993" i="3"/>
  <c r="Z993" i="3"/>
  <c r="AA993" i="3"/>
  <c r="P993" i="3"/>
  <c r="Q993" i="3" s="1"/>
  <c r="R993" i="3" s="1"/>
  <c r="S993" i="3" s="1"/>
  <c r="AC993" i="3"/>
  <c r="U992" i="3" l="1"/>
  <c r="Y991" i="3"/>
  <c r="T993" i="3"/>
  <c r="AH993" i="3" s="1"/>
  <c r="D993" i="3" l="1"/>
  <c r="G993" i="3" s="1"/>
  <c r="E993" i="3"/>
  <c r="H993" i="3" s="1"/>
  <c r="K993" i="3" s="1"/>
  <c r="AE993" i="3" s="1"/>
  <c r="AG993" i="3"/>
  <c r="F993" i="3" l="1"/>
  <c r="V993" i="3"/>
  <c r="A994" i="3"/>
  <c r="B994" i="3" s="1"/>
  <c r="I993" i="3"/>
  <c r="J993" i="3"/>
  <c r="M993" i="3"/>
  <c r="N993" i="3" s="1"/>
  <c r="L993" i="3" l="1"/>
  <c r="W993" i="3"/>
  <c r="AA994" i="3"/>
  <c r="P994" i="3"/>
  <c r="Q994" i="3" s="1"/>
  <c r="R994" i="3" s="1"/>
  <c r="S994" i="3" s="1"/>
  <c r="Z994" i="3"/>
  <c r="AC994" i="3"/>
  <c r="U993" i="3" l="1"/>
  <c r="Y992" i="3"/>
  <c r="T994" i="3"/>
  <c r="AH994" i="3" s="1"/>
  <c r="E994" i="3" l="1"/>
  <c r="H994" i="3" s="1"/>
  <c r="K994" i="3" s="1"/>
  <c r="AE994" i="3" s="1"/>
  <c r="D994" i="3"/>
  <c r="AG994" i="3"/>
  <c r="F994" i="3" l="1"/>
  <c r="G994" i="3"/>
  <c r="J994" i="3" s="1"/>
  <c r="AD994" i="3" s="1"/>
  <c r="V994" i="3"/>
  <c r="A995" i="3"/>
  <c r="B995" i="3" s="1"/>
  <c r="M994" i="3" l="1"/>
  <c r="N994" i="3" s="1"/>
  <c r="I994" i="3"/>
  <c r="W994" i="3" s="1"/>
  <c r="L994" i="3"/>
  <c r="AA995" i="3"/>
  <c r="P995" i="3"/>
  <c r="Q995" i="3" s="1"/>
  <c r="R995" i="3" s="1"/>
  <c r="S995" i="3" s="1"/>
  <c r="AC995" i="3"/>
  <c r="Z995" i="3"/>
  <c r="T995" i="3" l="1"/>
  <c r="U994" i="3"/>
  <c r="Y993" i="3"/>
  <c r="D995" i="3" l="1"/>
  <c r="G995" i="3" s="1"/>
  <c r="E995" i="3"/>
  <c r="H995" i="3" s="1"/>
  <c r="K995" i="3" s="1"/>
  <c r="AE995" i="3" s="1"/>
  <c r="AH995" i="3"/>
  <c r="AG995" i="3"/>
  <c r="F995" i="3" l="1"/>
  <c r="I995" i="3"/>
  <c r="J995" i="3"/>
  <c r="AD995" i="3" s="1"/>
  <c r="M995" i="3"/>
  <c r="N995" i="3" s="1"/>
  <c r="V995" i="3"/>
  <c r="A996" i="3"/>
  <c r="B996" i="3" s="1"/>
  <c r="W995" i="3" l="1"/>
  <c r="L995" i="3"/>
  <c r="Z996" i="3"/>
  <c r="P996" i="3"/>
  <c r="Q996" i="3" s="1"/>
  <c r="R996" i="3" s="1"/>
  <c r="S996" i="3" s="1"/>
  <c r="AA996" i="3"/>
  <c r="AC996" i="3"/>
  <c r="U995" i="3" l="1"/>
  <c r="Y994" i="3"/>
  <c r="T996" i="3"/>
  <c r="D996" i="3" l="1"/>
  <c r="G996" i="3" s="1"/>
  <c r="AG996" i="3"/>
  <c r="E996" i="3"/>
  <c r="H996" i="3" s="1"/>
  <c r="K996" i="3" s="1"/>
  <c r="AE996" i="3" s="1"/>
  <c r="AH996" i="3"/>
  <c r="F996" i="3" l="1"/>
  <c r="I996" i="3"/>
  <c r="J996" i="3"/>
  <c r="AD996" i="3" s="1"/>
  <c r="M996" i="3"/>
  <c r="N996" i="3" s="1"/>
  <c r="V996" i="3"/>
  <c r="A997" i="3"/>
  <c r="B997" i="3" s="1"/>
  <c r="P997" i="3" l="1"/>
  <c r="Q997" i="3" s="1"/>
  <c r="R997" i="3" s="1"/>
  <c r="S997" i="3" s="1"/>
  <c r="Z997" i="3"/>
  <c r="AA997" i="3"/>
  <c r="AC997" i="3"/>
  <c r="L996" i="3"/>
  <c r="W996" i="3"/>
  <c r="U996" i="3" l="1"/>
  <c r="Y995" i="3"/>
  <c r="T997" i="3"/>
  <c r="AH997" i="3" s="1"/>
  <c r="AG997" i="3" l="1"/>
  <c r="D997" i="3"/>
  <c r="E997" i="3"/>
  <c r="H997" i="3" s="1"/>
  <c r="K997" i="3" s="1"/>
  <c r="AE997" i="3" s="1"/>
  <c r="F997" i="3" l="1"/>
  <c r="G997" i="3"/>
  <c r="I997" i="3" s="1"/>
  <c r="V997" i="3"/>
  <c r="A998" i="3"/>
  <c r="B998" i="3" s="1"/>
  <c r="J997" i="3" l="1"/>
  <c r="M997" i="3"/>
  <c r="N997" i="3" s="1"/>
  <c r="W997" i="3"/>
  <c r="Z998" i="3"/>
  <c r="P998" i="3"/>
  <c r="Q998" i="3" s="1"/>
  <c r="R998" i="3" s="1"/>
  <c r="S998" i="3" s="1"/>
  <c r="AC998" i="3"/>
  <c r="AA998" i="3"/>
  <c r="L997" i="3" l="1"/>
  <c r="U997" i="3" s="1"/>
  <c r="AD997" i="3"/>
  <c r="T998" i="3"/>
  <c r="Y996" i="3" l="1"/>
  <c r="AG998" i="3"/>
  <c r="E998" i="3"/>
  <c r="H998" i="3" s="1"/>
  <c r="K998" i="3" s="1"/>
  <c r="AE998" i="3" s="1"/>
  <c r="AH998" i="3"/>
  <c r="D998" i="3"/>
  <c r="V998" i="3" l="1"/>
  <c r="A999" i="3"/>
  <c r="B999" i="3" s="1"/>
  <c r="F998" i="3"/>
  <c r="G998" i="3"/>
  <c r="I998" i="3" l="1"/>
  <c r="W998" i="3" s="1"/>
  <c r="J998" i="3"/>
  <c r="AD998" i="3" s="1"/>
  <c r="M998" i="3"/>
  <c r="N998" i="3" s="1"/>
  <c r="Z999" i="3"/>
  <c r="AC999" i="3"/>
  <c r="AA999" i="3"/>
  <c r="P999" i="3"/>
  <c r="Q999" i="3" s="1"/>
  <c r="R999" i="3" s="1"/>
  <c r="S999" i="3" s="1"/>
  <c r="T999" i="3" l="1"/>
  <c r="L998" i="3"/>
  <c r="AG999" i="3" l="1"/>
  <c r="U998" i="3"/>
  <c r="D999" i="3" s="1"/>
  <c r="AH999" i="3"/>
  <c r="Y997" i="3"/>
  <c r="E999" i="3" l="1"/>
  <c r="H999" i="3" s="1"/>
  <c r="K999" i="3" s="1"/>
  <c r="AE999" i="3" s="1"/>
  <c r="G999" i="3"/>
  <c r="F999" i="3" l="1"/>
  <c r="I999" i="3"/>
  <c r="J999" i="3"/>
  <c r="AD999" i="3" s="1"/>
  <c r="M999" i="3"/>
  <c r="N999" i="3" s="1"/>
  <c r="V999" i="3"/>
  <c r="A1000" i="3"/>
  <c r="B1000" i="3" s="1"/>
  <c r="W999" i="3" l="1"/>
  <c r="L999" i="3"/>
  <c r="AC1000" i="3"/>
  <c r="P1000" i="3"/>
  <c r="Q1000" i="3" s="1"/>
  <c r="R1000" i="3" s="1"/>
  <c r="S1000" i="3" s="1"/>
  <c r="Z1000" i="3"/>
  <c r="AA1000" i="3"/>
  <c r="U999" i="3" l="1"/>
  <c r="Y998" i="3"/>
  <c r="T1000" i="3"/>
  <c r="AG1000" i="3" s="1"/>
  <c r="D1000" i="3" l="1"/>
  <c r="G1000" i="3" s="1"/>
  <c r="AH1000" i="3"/>
  <c r="E1000" i="3"/>
  <c r="H1000" i="3" s="1"/>
  <c r="K1000" i="3" s="1"/>
  <c r="AE1000" i="3" s="1"/>
  <c r="F1000" i="3" l="1"/>
  <c r="I1000" i="3"/>
  <c r="J1000" i="3"/>
  <c r="AD1000" i="3" s="1"/>
  <c r="M1000" i="3"/>
  <c r="N1000" i="3" s="1"/>
  <c r="V1000" i="3"/>
  <c r="A1001" i="3"/>
  <c r="B1001" i="3" s="1"/>
  <c r="W1000" i="3" l="1"/>
  <c r="L1000" i="3"/>
  <c r="P1001" i="3"/>
  <c r="Q1001" i="3" s="1"/>
  <c r="R1001" i="3" s="1"/>
  <c r="S1001" i="3" s="1"/>
  <c r="Z1001" i="3"/>
  <c r="AC1001" i="3"/>
  <c r="AA1001" i="3"/>
  <c r="U1000" i="3" l="1"/>
  <c r="Y999" i="3"/>
  <c r="T1001" i="3"/>
  <c r="D1001" i="3" l="1"/>
  <c r="G1001" i="3" s="1"/>
  <c r="E1001" i="3"/>
  <c r="H1001" i="3" s="1"/>
  <c r="AG1001" i="3"/>
  <c r="AH1001" i="3"/>
  <c r="F1001" i="3" l="1"/>
  <c r="I1001" i="3"/>
  <c r="J1001" i="3"/>
  <c r="AD1001" i="3" s="1"/>
  <c r="M1001" i="3"/>
  <c r="N1001" i="3" s="1"/>
  <c r="K1001" i="3"/>
  <c r="AE1001" i="3" s="1"/>
  <c r="V1001" i="3" l="1"/>
  <c r="W1001" i="3" s="1"/>
  <c r="A1002" i="3"/>
  <c r="B1002" i="3" s="1"/>
  <c r="L1001" i="3"/>
  <c r="U1001" i="3" l="1"/>
  <c r="Y1000" i="3"/>
  <c r="AA1002" i="3"/>
  <c r="Z1002" i="3"/>
  <c r="AC1002" i="3"/>
  <c r="P1002" i="3"/>
  <c r="Q1002" i="3" s="1"/>
  <c r="R1002" i="3" s="1"/>
  <c r="S1002" i="3" s="1"/>
  <c r="T1002" i="3" l="1"/>
  <c r="AG1002" i="3" s="1"/>
  <c r="AH1002" i="3" l="1"/>
  <c r="D1002" i="3"/>
  <c r="G1002" i="3" s="1"/>
  <c r="E1002" i="3"/>
  <c r="H1002" i="3" s="1"/>
  <c r="K1002" i="3" s="1"/>
  <c r="AE1002" i="3" s="1"/>
  <c r="F1002" i="3" l="1"/>
  <c r="I1002" i="3"/>
  <c r="J1002" i="3"/>
  <c r="AD1002" i="3" s="1"/>
  <c r="M1002" i="3"/>
  <c r="N1002" i="3" s="1"/>
  <c r="V1002" i="3"/>
  <c r="A1003" i="3"/>
  <c r="B1003" i="3" s="1"/>
  <c r="W1002" i="3" l="1"/>
  <c r="L1002" i="3"/>
  <c r="AC1003" i="3"/>
  <c r="P1003" i="3"/>
  <c r="Q1003" i="3" s="1"/>
  <c r="R1003" i="3" s="1"/>
  <c r="S1003" i="3" s="1"/>
  <c r="AA1003" i="3"/>
  <c r="Z1003" i="3"/>
  <c r="T1003" i="3" l="1"/>
  <c r="AH1003" i="3" s="1"/>
  <c r="U1002" i="3"/>
  <c r="Y1001" i="3"/>
  <c r="D1003" i="3" l="1"/>
  <c r="G1003" i="3" s="1"/>
  <c r="E1003" i="3"/>
  <c r="H1003" i="3" s="1"/>
  <c r="K1003" i="3" s="1"/>
  <c r="AE1003" i="3" s="1"/>
  <c r="AG1003" i="3"/>
  <c r="F1003" i="3" l="1"/>
  <c r="I1003" i="3"/>
  <c r="J1003" i="3"/>
  <c r="AD1003" i="3" s="1"/>
  <c r="M1003" i="3"/>
  <c r="N1003" i="3" s="1"/>
  <c r="V1003" i="3"/>
  <c r="W1003" i="3" s="1"/>
  <c r="A1004" i="3"/>
  <c r="B1004" i="3" s="1"/>
  <c r="L1003" i="3" l="1"/>
  <c r="P1004" i="3"/>
  <c r="Q1004" i="3" s="1"/>
  <c r="R1004" i="3" s="1"/>
  <c r="S1004" i="3" s="1"/>
  <c r="T1004" i="3" s="1"/>
  <c r="AA1004" i="3"/>
  <c r="Z1004" i="3"/>
  <c r="AC1004" i="3"/>
  <c r="AG1004" i="3" l="1"/>
  <c r="AH1004" i="3"/>
  <c r="U1003" i="3"/>
  <c r="D1004" i="3" s="1"/>
  <c r="Y1002" i="3"/>
  <c r="J48" i="1"/>
  <c r="L48" i="1"/>
  <c r="I48" i="1"/>
  <c r="J25" i="1"/>
  <c r="K48" i="1"/>
  <c r="M48" i="1"/>
  <c r="K25" i="1"/>
  <c r="I25" i="1"/>
  <c r="K27" i="1"/>
  <c r="I46" i="1"/>
  <c r="L46" i="1"/>
  <c r="M46" i="1"/>
  <c r="K46" i="1"/>
  <c r="J46" i="1"/>
  <c r="I27" i="1"/>
  <c r="J27" i="1"/>
  <c r="E1004" i="3" l="1"/>
  <c r="H1004" i="3" s="1"/>
  <c r="K1004" i="3" s="1"/>
  <c r="AE1004" i="3" s="1"/>
  <c r="C122" i="1"/>
  <c r="C155" i="1"/>
  <c r="C31" i="1"/>
  <c r="C126" i="1"/>
  <c r="C121" i="1"/>
  <c r="C124" i="1"/>
  <c r="C33" i="1"/>
  <c r="J47" i="1" s="1"/>
  <c r="C129" i="1"/>
  <c r="C130" i="1" s="1"/>
  <c r="M25" i="1"/>
  <c r="I72" i="7"/>
  <c r="I73" i="7" s="1"/>
  <c r="I70" i="7"/>
  <c r="G1004" i="3"/>
  <c r="B128" i="1"/>
  <c r="B123" i="1"/>
  <c r="B127" i="1"/>
  <c r="D155" i="1"/>
  <c r="B124" i="1"/>
  <c r="B126" i="1"/>
  <c r="B129" i="1"/>
  <c r="B125" i="1"/>
  <c r="D31" i="1"/>
  <c r="D33" i="1"/>
  <c r="J49" i="1" s="1"/>
  <c r="C146" i="1"/>
  <c r="C147" i="1" s="1"/>
  <c r="C138" i="1"/>
  <c r="C141" i="1"/>
  <c r="C143" i="1"/>
  <c r="C139" i="1"/>
  <c r="B140" i="1"/>
  <c r="B143" i="1"/>
  <c r="B142" i="1"/>
  <c r="B146" i="1"/>
  <c r="B144" i="1"/>
  <c r="B141" i="1"/>
  <c r="B145" i="1"/>
  <c r="M27" i="1"/>
  <c r="H72" i="7"/>
  <c r="H73" i="7" s="1"/>
  <c r="H70" i="7"/>
  <c r="F1004" i="3" l="1"/>
  <c r="L24" i="1" s="1"/>
  <c r="H49" i="1"/>
  <c r="D32" i="1"/>
  <c r="I1004" i="3"/>
  <c r="J1004" i="3"/>
  <c r="M1004" i="3"/>
  <c r="N1004" i="3" s="1"/>
  <c r="E31" i="7"/>
  <c r="H47" i="1"/>
  <c r="C32" i="1"/>
  <c r="V1004" i="3"/>
  <c r="L42" i="1" l="1"/>
  <c r="L1004" i="3"/>
  <c r="Y1004" i="3" s="1"/>
  <c r="AD1004" i="3"/>
  <c r="W1004" i="3"/>
  <c r="B135" i="1"/>
  <c r="B137" i="1"/>
  <c r="B133" i="1"/>
  <c r="B132" i="1" s="1"/>
  <c r="F133" i="1"/>
  <c r="F134" i="1"/>
  <c r="C133" i="1"/>
  <c r="C135" i="1"/>
  <c r="K24" i="1"/>
  <c r="K42" i="1"/>
  <c r="B150" i="1"/>
  <c r="B149" i="1" s="1"/>
  <c r="B154" i="1"/>
  <c r="B152" i="1"/>
  <c r="H117" i="7"/>
  <c r="E62" i="7"/>
  <c r="F62" i="7" s="1"/>
  <c r="E120" i="7"/>
  <c r="F120" i="7" s="1"/>
  <c r="E119" i="7"/>
  <c r="F119" i="7" s="1"/>
  <c r="E133" i="7"/>
  <c r="E63" i="7"/>
  <c r="F63" i="7" s="1"/>
  <c r="H59" i="7"/>
  <c r="L31" i="7"/>
  <c r="E65" i="7"/>
  <c r="F65" i="7" s="1"/>
  <c r="Y1003" i="3" l="1"/>
  <c r="M41" i="1" s="1"/>
  <c r="U1004" i="3"/>
  <c r="J43" i="1"/>
  <c r="I41" i="1"/>
  <c r="K41" i="1"/>
  <c r="H26" i="1"/>
  <c r="J31" i="7" s="1"/>
  <c r="L43" i="1"/>
  <c r="M43" i="1"/>
  <c r="K43" i="1"/>
  <c r="H43" i="1"/>
  <c r="I44" i="1"/>
  <c r="H44" i="1"/>
  <c r="J26" i="1"/>
  <c r="D161" i="1" s="1"/>
  <c r="M44" i="1"/>
  <c r="K26" i="1"/>
  <c r="K31" i="7" s="1"/>
  <c r="K23" i="1"/>
  <c r="L41" i="1"/>
  <c r="L44" i="1"/>
  <c r="I26" i="1"/>
  <c r="B163" i="1" s="1"/>
  <c r="J41" i="1"/>
  <c r="I43" i="1"/>
  <c r="J44" i="1"/>
  <c r="H28" i="1"/>
  <c r="F151" i="1" s="1"/>
  <c r="M31" i="7"/>
  <c r="E121" i="7"/>
  <c r="F121" i="7" s="1"/>
  <c r="H116" i="7"/>
  <c r="H58" i="7"/>
  <c r="E64" i="7"/>
  <c r="F64" i="7" s="1"/>
  <c r="S26" i="6" l="1"/>
  <c r="H55" i="7"/>
  <c r="H112" i="7"/>
  <c r="H53" i="7"/>
  <c r="P31" i="1"/>
  <c r="P32" i="1"/>
  <c r="I67" i="7"/>
  <c r="H41" i="1"/>
  <c r="K44" i="1"/>
  <c r="H45" i="1"/>
  <c r="M45" i="1"/>
  <c r="L45" i="1"/>
  <c r="K45" i="1"/>
  <c r="K28" i="1" s="1"/>
  <c r="M28" i="1" s="1"/>
  <c r="J45" i="1"/>
  <c r="J28" i="1"/>
  <c r="P30" i="1"/>
  <c r="F193" i="1"/>
  <c r="F190" i="1"/>
  <c r="F171" i="1"/>
  <c r="D186" i="1"/>
  <c r="F161" i="1"/>
  <c r="F163" i="1"/>
  <c r="D166" i="1"/>
  <c r="D192" i="1"/>
  <c r="D194" i="1"/>
  <c r="D196" i="1"/>
  <c r="D173" i="1"/>
  <c r="D168" i="1"/>
  <c r="D197" i="1"/>
  <c r="D159" i="1"/>
  <c r="D185" i="1"/>
  <c r="F194" i="1"/>
  <c r="D165" i="1"/>
  <c r="D191" i="1"/>
  <c r="F183" i="1"/>
  <c r="F162" i="1"/>
  <c r="F170" i="1"/>
  <c r="F184" i="1"/>
  <c r="F168" i="1"/>
  <c r="F169" i="1"/>
  <c r="D164" i="1"/>
  <c r="F21" i="1"/>
  <c r="D177" i="1"/>
  <c r="F197" i="1"/>
  <c r="D160" i="1"/>
  <c r="F196" i="1"/>
  <c r="D162" i="1"/>
  <c r="D170" i="1"/>
  <c r="D181" i="1"/>
  <c r="F164" i="1"/>
  <c r="F165" i="1"/>
  <c r="D190" i="1"/>
  <c r="F182" i="1"/>
  <c r="F166" i="1"/>
  <c r="H44" i="7"/>
  <c r="D171" i="1"/>
  <c r="D169" i="1"/>
  <c r="F172" i="1"/>
  <c r="D179" i="1"/>
  <c r="D189" i="1"/>
  <c r="D183" i="1"/>
  <c r="F160" i="1"/>
  <c r="F195" i="1"/>
  <c r="D193" i="1"/>
  <c r="F179" i="1"/>
  <c r="D188" i="1"/>
  <c r="F185" i="1"/>
  <c r="F159" i="1"/>
  <c r="F173" i="1"/>
  <c r="D163" i="1"/>
  <c r="D184" i="1"/>
  <c r="D195" i="1"/>
  <c r="F191" i="1"/>
  <c r="H11" i="7"/>
  <c r="F181" i="1"/>
  <c r="D180" i="1"/>
  <c r="F186" i="1"/>
  <c r="F180" i="1"/>
  <c r="F187" i="1"/>
  <c r="F178" i="1"/>
  <c r="D178" i="1"/>
  <c r="D182" i="1"/>
  <c r="F192" i="1"/>
  <c r="D174" i="1"/>
  <c r="F189" i="1"/>
  <c r="F167" i="1"/>
  <c r="D187" i="1"/>
  <c r="F188" i="1"/>
  <c r="D172" i="1"/>
  <c r="F174" i="1"/>
  <c r="F177" i="1"/>
  <c r="D167" i="1"/>
  <c r="B171" i="1"/>
  <c r="B181" i="1"/>
  <c r="B170" i="1"/>
  <c r="B186" i="1"/>
  <c r="B164" i="1"/>
  <c r="B175" i="1"/>
  <c r="B166" i="1"/>
  <c r="B174" i="1"/>
  <c r="B172" i="1"/>
  <c r="B184" i="1"/>
  <c r="H113" i="7"/>
  <c r="B180" i="1"/>
  <c r="B199" i="1"/>
  <c r="B188" i="1"/>
  <c r="B165" i="1"/>
  <c r="B185" i="1"/>
  <c r="B168" i="1"/>
  <c r="H114" i="7"/>
  <c r="B198" i="1"/>
  <c r="B197" i="1"/>
  <c r="B179" i="1"/>
  <c r="B191" i="1"/>
  <c r="C156" i="1"/>
  <c r="B192" i="1"/>
  <c r="E128" i="7"/>
  <c r="F128" i="7" s="1"/>
  <c r="B194" i="1"/>
  <c r="B173" i="1"/>
  <c r="B182" i="1"/>
  <c r="B190" i="1"/>
  <c r="B193" i="1"/>
  <c r="B176" i="1"/>
  <c r="B183" i="1"/>
  <c r="B195" i="1"/>
  <c r="F132" i="1"/>
  <c r="C134" i="1" s="1"/>
  <c r="B189" i="1"/>
  <c r="B162" i="1"/>
  <c r="B169" i="1"/>
  <c r="B196" i="1"/>
  <c r="H31" i="7"/>
  <c r="B161" i="1"/>
  <c r="B167" i="1"/>
  <c r="H54" i="7"/>
  <c r="B187" i="1"/>
  <c r="B158" i="1"/>
  <c r="H57" i="7"/>
  <c r="F150" i="1"/>
  <c r="B151" i="1" s="1"/>
  <c r="H115" i="7" l="1"/>
  <c r="S25" i="6"/>
  <c r="D31" i="7"/>
  <c r="D156" i="1"/>
  <c r="H19" i="7"/>
  <c r="C118" i="1"/>
  <c r="P29" i="1"/>
  <c r="B120" i="1"/>
  <c r="H56" i="7"/>
  <c r="E129" i="7"/>
  <c r="F129" i="7" s="1"/>
  <c r="B153" i="1"/>
  <c r="C132" i="1"/>
  <c r="C151" i="1"/>
  <c r="C149" i="1"/>
  <c r="B134" i="1"/>
  <c r="B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M363040</author>
    <author>Léo Côme</author>
    <author>collectif</author>
  </authors>
  <commentList>
    <comment ref="M5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Définir les propriétés du 1er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1st diameter transition.
</t>
        </r>
        <r>
          <rPr>
            <i/>
            <sz val="8"/>
            <color rgb="FF000000"/>
            <rFont val="Tahoma"/>
            <family val="2"/>
          </rPr>
          <t>Leave this column blank if no skirt/shrink on the rocket.</t>
        </r>
      </text>
    </comment>
    <comment ref="O5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Définir les propriétés du 2e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2e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2nd diameter transition.
</t>
        </r>
        <r>
          <rPr>
            <i/>
            <sz val="8"/>
            <color rgb="FF000000"/>
            <rFont val="Tahoma"/>
            <family val="2"/>
          </rPr>
          <t>Leave this column blank if no 2nd skirt/shrink on the rocket.</t>
        </r>
      </text>
    </comment>
    <comment ref="L6" authorId="1" shapeId="0" xr:uid="{00000000-0006-0000-0000-000003000000}">
      <text>
        <r>
          <rPr>
            <b/>
            <sz val="8"/>
            <color rgb="FF000000"/>
            <rFont val="Tahoma"/>
            <family val="2"/>
          </rPr>
          <t>Hauteur</t>
        </r>
        <r>
          <rPr>
            <sz val="8"/>
            <color rgb="FF000000"/>
            <rFont val="Tahoma"/>
            <family val="2"/>
          </rPr>
          <t xml:space="preserve"> du changement de diamètre (cf. schéma sur fond bleu).
</t>
        </r>
        <r>
          <rPr>
            <i/>
            <sz val="8"/>
            <color rgb="FF000000"/>
            <rFont val="Tahoma"/>
            <family val="2"/>
          </rPr>
          <t>Height of the tronconical transition (cf. blue schematic).</t>
        </r>
      </text>
    </comment>
    <comment ref="L7" authorId="1" shapeId="0" xr:uid="{00000000-0006-0000-0000-000004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au dessus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Upper Diameter (cf. blue schematic).</t>
        </r>
      </text>
    </comment>
    <comment ref="L8" authorId="1" shapeId="0" xr:uid="{00000000-0006-0000-0000-000005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en dessous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Lower Diameter (cf. blue schematic).</t>
        </r>
      </text>
    </comment>
    <comment ref="L9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Distance entre la pointe de l'ogive et le haut du changement de diamètre.
</t>
        </r>
        <r>
          <rPr>
            <i/>
            <sz val="8"/>
            <color rgb="FF000000"/>
            <rFont val="Tahoma"/>
            <family val="2"/>
          </rPr>
          <t>Distance betwenn the tip of the nose cone and the top of the skirt/shrink.</t>
        </r>
      </text>
    </comment>
    <comment ref="B12" authorId="0" shapeId="0" xr:uid="{00000000-0006-0000-0000-000007000000}">
      <text>
        <r>
          <rPr>
            <sz val="8"/>
            <color indexed="8"/>
            <rFont val="Tahoma"/>
            <family val="2"/>
          </rPr>
          <t xml:space="preserve">Position du </t>
        </r>
        <r>
          <rPr>
            <b/>
            <sz val="8"/>
            <color indexed="8"/>
            <rFont val="Tahoma"/>
            <family val="2"/>
          </rPr>
          <t>Centre de Masse</t>
        </r>
        <r>
          <rPr>
            <sz val="8"/>
            <color indexed="8"/>
            <rFont val="Tahoma"/>
            <family val="2"/>
          </rPr>
          <t xml:space="preserve"> (CdG) par rapport à la pointe de l'ogive,
à mesurer ou estimer sur votre fusée.
</t>
        </r>
        <r>
          <rPr>
            <i/>
            <sz val="8"/>
            <color indexed="8"/>
            <rFont val="Tahoma"/>
            <family val="2"/>
          </rPr>
          <t>Position of Center of Mass (CoG) from the top of the nose cone.</t>
        </r>
      </text>
    </comment>
    <comment ref="S12" authorId="0" shapeId="0" xr:uid="{00000000-0006-0000-0000-000008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haut</t>
        </r>
        <r>
          <rPr>
            <sz val="8"/>
            <color indexed="8"/>
            <rFont val="Tahoma"/>
            <family val="2"/>
          </rPr>
          <t xml:space="preserve"> du propulseur (hors ergot).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 xml:space="preserve">top </t>
        </r>
        <r>
          <rPr>
            <i/>
            <sz val="8"/>
            <color indexed="8"/>
            <rFont val="Tahoma"/>
            <family val="2"/>
          </rPr>
          <t>of the motor.</t>
        </r>
      </text>
    </comment>
    <comment ref="B13" authorId="0" shapeId="0" xr:uid="{00000000-0006-0000-0000-000009000000}">
      <text>
        <r>
          <rPr>
            <sz val="8"/>
            <color indexed="8"/>
            <rFont val="Tahoma"/>
            <family val="2"/>
          </rPr>
          <t xml:space="preserve">Longueur totale du fuselage avec l'ogive,
hors propu hors antenne hors ailerons.
</t>
        </r>
        <r>
          <rPr>
            <i/>
            <sz val="8"/>
            <color indexed="8"/>
            <rFont val="Tahoma"/>
            <family val="2"/>
          </rPr>
          <t>Total length of the body including nose cone.</t>
        </r>
      </text>
    </comment>
    <comment ref="L13" authorId="1" shapeId="0" xr:uid="{00000000-0006-0000-0000-00000A000000}">
      <text>
        <r>
          <rPr>
            <sz val="8"/>
            <color rgb="FF000000"/>
            <rFont val="Tahoma"/>
            <family val="2"/>
          </rPr>
          <t xml:space="preserve">Centre de Masse du propulseur par rapport au haut du propulseur.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Motor Center of Mass, mesured from top of motor.</t>
        </r>
      </text>
    </comment>
    <comment ref="B14" authorId="0" shapeId="0" xr:uid="{00000000-0006-0000-0000-00000B000000}">
      <text>
        <r>
          <rPr>
            <sz val="8"/>
            <color indexed="8"/>
            <rFont val="Tahoma"/>
            <family val="2"/>
          </rPr>
          <t xml:space="preserve">Diamètre de référence, utilisé pour calculer : Cnα, Finesse, Marge Statique.
Par défaut D_réf = D_ogive ; on peux écraser avec le diamètre "principal".
</t>
        </r>
        <r>
          <rPr>
            <i/>
            <sz val="8"/>
            <color indexed="8"/>
            <rFont val="Tahoma"/>
            <family val="2"/>
          </rPr>
          <t>Reference Diameter, used to compute: Cnα, Finesse, Static Margin.
By default D_ref = D_ogive ; one can overwrtie with the "main" diameter.</t>
        </r>
      </text>
    </comment>
    <comment ref="S14" authorId="0" shapeId="0" xr:uid="{00000000-0006-0000-0000-00000C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L15" authorId="1" shapeId="0" xr:uid="{00000000-0006-0000-0000-00000D000000}">
      <text>
        <r>
          <rPr>
            <sz val="8"/>
            <color indexed="8"/>
            <rFont val="Tahoma"/>
            <family val="2"/>
          </rPr>
          <t xml:space="preserve">Les positions des </t>
        </r>
        <r>
          <rPr>
            <sz val="8"/>
            <color indexed="12"/>
            <rFont val="Tahoma"/>
            <family val="2"/>
          </rPr>
          <t>Centres de Masse</t>
        </r>
        <r>
          <rPr>
            <sz val="8"/>
            <color indexed="8"/>
            <rFont val="Tahoma"/>
            <family val="2"/>
          </rPr>
          <t xml:space="preserve"> de la fusée avec propulseur plein et vide
sont représentées sur le schéma de la fusée par un </t>
        </r>
        <r>
          <rPr>
            <sz val="8"/>
            <color indexed="12"/>
            <rFont val="Tahoma"/>
            <family val="2"/>
          </rPr>
          <t>segment vertical bleu</t>
        </r>
        <r>
          <rPr>
            <sz val="8"/>
            <color indexed="8"/>
            <rFont val="Tahoma"/>
            <family val="2"/>
          </rPr>
          <t xml:space="preserve">.
</t>
        </r>
        <r>
          <rPr>
            <i/>
            <sz val="8"/>
            <color indexed="8"/>
            <rFont val="Tahoma"/>
            <family val="2"/>
          </rPr>
          <t xml:space="preserve">Rocket Center of Mass are shown whith a </t>
        </r>
        <r>
          <rPr>
            <i/>
            <sz val="8"/>
            <color indexed="12"/>
            <rFont val="Tahoma"/>
            <family val="2"/>
          </rPr>
          <t>blue segment</t>
        </r>
        <r>
          <rPr>
            <i/>
            <sz val="8"/>
            <color indexed="8"/>
            <rFont val="Tahoma"/>
            <family val="2"/>
          </rPr>
          <t xml:space="preserve"> in Rocket schematic.</t>
        </r>
      </text>
    </comment>
    <comment ref="S17" authorId="0" shapeId="0" xr:uid="{00000000-0006-0000-0000-00000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supérieur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upper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18" authorId="0" shapeId="0" xr:uid="{00000000-0006-0000-0000-00000F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S18" authorId="1" shapeId="0" xr:uid="{00000000-0006-0000-0000-000010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S19" authorId="0" shapeId="0" xr:uid="{00000000-0006-0000-0000-000011000000}">
      <text>
        <r>
          <rPr>
            <sz val="8"/>
            <color rgb="FF000000"/>
            <rFont val="Tahoma"/>
            <family val="2"/>
          </rPr>
          <t xml:space="preserve">Distance entre la pointe de l'ogive et le point </t>
        </r>
        <r>
          <rPr>
            <b/>
            <sz val="8"/>
            <color rgb="FF000000"/>
            <rFont val="Tahoma"/>
            <family val="2"/>
          </rPr>
          <t>inférieur</t>
        </r>
        <r>
          <rPr>
            <sz val="8"/>
            <color rgb="FF000000"/>
            <rFont val="Tahoma"/>
            <family val="2"/>
          </rPr>
          <t xml:space="preserve"> de l'encastrement des ailerons.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rgb="FF000000"/>
            <rFont val="Tahoma"/>
            <family val="2"/>
          </rPr>
          <t>lower</t>
        </r>
        <r>
          <rPr>
            <i/>
            <sz val="8"/>
            <color rgb="FF000000"/>
            <rFont val="Tahoma"/>
            <family val="2"/>
          </rPr>
          <t xml:space="preserve"> point of fins attachment on the rocket.</t>
        </r>
      </text>
    </comment>
    <comment ref="B23" authorId="0" shapeId="0" xr:uid="{00000000-0006-0000-0000-000012000000}">
      <text>
        <r>
          <rPr>
            <sz val="8"/>
            <color indexed="8"/>
            <rFont val="Tahoma"/>
            <family val="2"/>
          </rPr>
          <t xml:space="preserve">Diamètre à la base de l'ogive.
</t>
        </r>
        <r>
          <rPr>
            <i/>
            <sz val="8"/>
            <color indexed="8"/>
            <rFont val="Tahoma"/>
            <family val="2"/>
          </rPr>
          <t>Diameter at the basement of the nose cone.</t>
        </r>
      </text>
    </comment>
    <comment ref="E25" authorId="1" shapeId="0" xr:uid="{00000000-0006-0000-0000-000013000000}">
      <text>
        <r>
          <rPr>
            <sz val="8"/>
            <color rgb="FF000000"/>
            <rFont val="Tahoma"/>
            <family val="2"/>
          </rPr>
          <t xml:space="preserve">Les parties masquées des ailerons du bas sont représentées 
</t>
        </r>
        <r>
          <rPr>
            <sz val="8"/>
            <color rgb="FF000000"/>
            <rFont val="Tahoma"/>
            <family val="2"/>
          </rPr>
          <t xml:space="preserve">sur le schéma de la fusée par des </t>
        </r>
        <r>
          <rPr>
            <sz val="8"/>
            <color rgb="FFFF0000"/>
            <rFont val="Tahoma"/>
            <family val="2"/>
          </rPr>
          <t>zones en rouge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Ce sont les parties situées juste en dessous des ailerons du haut.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fin-fin interaction zone is located just below the upper fins,
</t>
        </r>
        <r>
          <rPr>
            <i/>
            <sz val="8"/>
            <color rgb="FF000000"/>
            <rFont val="Tahoma"/>
            <family val="2"/>
          </rPr>
          <t xml:space="preserve">shown in </t>
        </r>
        <r>
          <rPr>
            <i/>
            <sz val="8"/>
            <color rgb="FFFF0000"/>
            <rFont val="Tahoma"/>
            <family val="2"/>
          </rPr>
          <t>red</t>
        </r>
        <r>
          <rPr>
            <i/>
            <sz val="8"/>
            <color rgb="FF000000"/>
            <rFont val="Tahoma"/>
            <family val="2"/>
          </rPr>
          <t xml:space="preserve"> in the Rocket schematic.</t>
        </r>
      </text>
    </comment>
    <comment ref="B27" authorId="1" shapeId="0" xr:uid="{00000000-0006-0000-0000-000014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F27" authorId="0" shapeId="0" xr:uid="{00000000-0006-0000-0000-000015000000}">
      <text>
        <r>
          <rPr>
            <sz val="8"/>
            <color indexed="8"/>
            <rFont val="Tahoma"/>
            <family val="2"/>
          </rPr>
          <t xml:space="preserve">La </t>
        </r>
        <r>
          <rPr>
            <b/>
            <sz val="8"/>
            <color indexed="8"/>
            <rFont val="Tahoma"/>
            <family val="2"/>
          </rPr>
          <t>Finesse</t>
        </r>
        <r>
          <rPr>
            <sz val="8"/>
            <color indexed="8"/>
            <rFont val="Tahoma"/>
            <family val="2"/>
          </rPr>
          <t xml:space="preserve"> représente l'allongement de la fusée, rapport Longueur/Diamètre.
</t>
        </r>
        <r>
          <rPr>
            <i/>
            <sz val="8"/>
            <color indexed="8"/>
            <rFont val="Tahoma"/>
            <family val="2"/>
          </rPr>
          <t>Finesse represents the relative length of the rocket. Finesse = L/D</t>
        </r>
      </text>
    </comment>
    <comment ref="B28" authorId="1" shapeId="0" xr:uid="{00000000-0006-0000-0000-000016000000}">
      <text>
        <r>
          <rPr>
            <sz val="8"/>
            <color indexed="8"/>
            <rFont val="Tahoma"/>
            <family val="2"/>
          </rPr>
          <t xml:space="preserve">Longueur du </t>
        </r>
        <r>
          <rPr>
            <b/>
            <sz val="8"/>
            <color indexed="8"/>
            <rFont val="Tahoma"/>
            <family val="2"/>
          </rPr>
          <t>saumo</t>
        </r>
        <r>
          <rPr>
            <b/>
            <u/>
            <sz val="8"/>
            <color indexed="8"/>
            <rFont val="Tahoma"/>
            <family val="2"/>
          </rPr>
          <t>n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Tip edge length of one fin.</t>
        </r>
      </text>
    </comment>
    <comment ref="F28" authorId="0" shapeId="0" xr:uid="{00000000-0006-0000-0000-000017000000}">
      <text>
        <r>
          <rPr>
            <sz val="8"/>
            <color indexed="8"/>
            <rFont val="Tahoma"/>
            <family val="2"/>
          </rPr>
          <t xml:space="preserve">Le gradient de </t>
        </r>
        <r>
          <rPr>
            <b/>
            <sz val="8"/>
            <color indexed="16"/>
            <rFont val="Tahoma"/>
            <family val="2"/>
          </rPr>
          <t>Portance</t>
        </r>
        <r>
          <rPr>
            <sz val="8"/>
            <color indexed="8"/>
            <rFont val="Tahoma"/>
            <family val="2"/>
          </rPr>
          <t xml:space="preserve"> Cnα indique l'efficacité des ailerons.
Pour l'augmenter, il faut augmenter la taille des ailerons, et inversement.
</t>
        </r>
        <r>
          <rPr>
            <i/>
            <sz val="8"/>
            <color indexed="16"/>
            <rFont val="Tahoma"/>
            <family val="2"/>
          </rPr>
          <t>Lift</t>
        </r>
        <r>
          <rPr>
            <i/>
            <sz val="8"/>
            <color indexed="8"/>
            <rFont val="Tahoma"/>
            <family val="2"/>
          </rPr>
          <t xml:space="preserve"> gradient, Cnα, represents the fins efficiency. 
To increase it, one must increase the size of the fins, and conversely.</t>
        </r>
      </text>
    </comment>
    <comment ref="B29" authorId="1" shapeId="0" xr:uid="{00000000-0006-0000-0000-000018000000}">
      <text>
        <r>
          <rPr>
            <b/>
            <sz val="8"/>
            <color indexed="8"/>
            <rFont val="Tahoma"/>
            <family val="2"/>
          </rPr>
          <t>Flèche</t>
        </r>
        <r>
          <rPr>
            <sz val="8"/>
            <color indexed="8"/>
            <rFont val="Tahoma"/>
            <family val="2"/>
          </rPr>
          <t xml:space="preserve"> du bord d'attaque (négatif si besoin).
</t>
        </r>
        <r>
          <rPr>
            <i/>
            <sz val="8"/>
            <color indexed="8"/>
            <rFont val="Tahoma"/>
            <family val="2"/>
          </rPr>
          <t>Offset of the Leading edge.</t>
        </r>
      </text>
    </comment>
    <comment ref="F29" authorId="0" shapeId="0" xr:uid="{00000000-0006-0000-0000-000019000000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Marge Statique</t>
        </r>
        <r>
          <rPr>
            <sz val="8"/>
            <color rgb="FF000000"/>
            <rFont val="Tahoma"/>
            <family val="2"/>
          </rPr>
          <t xml:space="preserve">, MS,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nombre de Diamètre de Référence, pour une fusée avec propulseur plein puis vide.
</t>
        </r>
        <r>
          <rPr>
            <sz val="8"/>
            <color rgb="FF000000"/>
            <rFont val="Tahoma"/>
            <family val="2"/>
          </rPr>
          <t xml:space="preserve">Pour augmenter la MS, il faut soit :
</t>
        </r>
        <r>
          <rPr>
            <sz val="8"/>
            <color rgb="FF000000"/>
            <rFont val="Tahoma"/>
            <family val="2"/>
          </rPr>
          <t xml:space="preserve">- abaisser le Centre de Portance (position des ailerons)
</t>
        </r>
        <r>
          <rPr>
            <sz val="8"/>
            <color rgb="FF000000"/>
            <rFont val="Tahoma"/>
            <family val="2"/>
          </rPr>
          <t xml:space="preserve">- rehausser le Centre de Masse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Static Margin, MS,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 xml:space="preserve">measured in number of reference diameter, for a rocket with loaded motor, then empty motor.
</t>
        </r>
        <r>
          <rPr>
            <i/>
            <sz val="8"/>
            <color rgb="FF000000"/>
            <rFont val="Tahoma"/>
            <family val="2"/>
          </rPr>
          <t xml:space="preserve">In order to increase MS, one must either:
</t>
        </r>
        <r>
          <rPr>
            <i/>
            <sz val="8"/>
            <color rgb="FF000000"/>
            <rFont val="Tahoma"/>
            <family val="2"/>
          </rPr>
          <t xml:space="preserve">- lower the Center of Pressure (position of fins)
</t>
        </r>
        <r>
          <rPr>
            <i/>
            <sz val="8"/>
            <color rgb="FF000000"/>
            <rFont val="Tahoma"/>
            <family val="2"/>
          </rPr>
          <t>- Move up the Center of Mass</t>
        </r>
      </text>
    </comment>
    <comment ref="B30" authorId="1" shapeId="0" xr:uid="{00000000-0006-0000-0000-00001A000000}">
      <text>
        <r>
          <rPr>
            <b/>
            <u/>
            <sz val="8"/>
            <color indexed="8"/>
            <rFont val="Tahoma"/>
            <family val="2"/>
          </rPr>
          <t>E</t>
        </r>
        <r>
          <rPr>
            <b/>
            <sz val="8"/>
            <color indexed="8"/>
            <rFont val="Tahoma"/>
            <family val="2"/>
          </rPr>
          <t>nvergure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Span of one fin.</t>
        </r>
      </text>
    </comment>
    <comment ref="F30" authorId="0" shapeId="0" xr:uid="{00000000-0006-0000-0000-00001B000000}">
      <text>
        <r>
          <rPr>
            <sz val="8"/>
            <color indexed="8"/>
            <rFont val="Tahoma"/>
            <family val="2"/>
          </rPr>
          <t xml:space="preserve">Le </t>
        </r>
        <r>
          <rPr>
            <b/>
            <sz val="8"/>
            <color indexed="8"/>
            <rFont val="Tahoma"/>
            <family val="2"/>
          </rPr>
          <t>produit</t>
        </r>
        <r>
          <rPr>
            <sz val="8"/>
            <color indexed="8"/>
            <rFont val="Tahoma"/>
            <family val="2"/>
          </rPr>
          <t xml:space="preserve"> MS*Cnα représente le </t>
        </r>
        <r>
          <rPr>
            <b/>
            <sz val="8"/>
            <color indexed="8"/>
            <rFont val="Tahoma"/>
            <family val="2"/>
          </rPr>
          <t>couple</t>
        </r>
        <r>
          <rPr>
            <sz val="8"/>
            <color indexed="8"/>
            <rFont val="Tahoma"/>
            <family val="2"/>
          </rPr>
          <t xml:space="preserve"> de rappel de la Portance.
Pour augmenter le produit, il faut augmenter la MS et/ou le Cnα, et inversement.
</t>
        </r>
        <r>
          <rPr>
            <i/>
            <sz val="8"/>
            <color indexed="8"/>
            <rFont val="Tahoma"/>
            <family val="2"/>
          </rPr>
          <t>The product MS*Cnα represents the lift torque.
To increase it, one must increase the Static Margin and/or the Cnα, and conversely.</t>
        </r>
      </text>
    </comment>
    <comment ref="F31" authorId="0" shapeId="0" xr:uid="{00000000-0006-0000-0000-00001C000000}">
      <text>
        <r>
          <rPr>
            <sz val="8"/>
            <color indexed="8"/>
            <rFont val="Tahoma"/>
            <family val="2"/>
          </rPr>
          <t xml:space="preserve">Le Xcp est la </t>
        </r>
        <r>
          <rPr>
            <b/>
            <sz val="8"/>
            <color indexed="16"/>
            <rFont val="Tahoma"/>
            <family val="2"/>
          </rPr>
          <t>position du Centre de Poussée Aérodynamique</t>
        </r>
        <r>
          <rPr>
            <sz val="8"/>
            <color indexed="8"/>
            <rFont val="Tahoma"/>
            <family val="2"/>
          </rPr>
          <t xml:space="preserve"> (CPA), 
aussi appelé Centre de Pression (CP), Centre Latéral de Poussée (CLP), 
ou Foyer, exprimée par rapport à la pointe de l'ogive.
</t>
        </r>
        <r>
          <rPr>
            <i/>
            <sz val="8"/>
            <color indexed="8"/>
            <rFont val="Tahoma"/>
            <family val="2"/>
          </rPr>
          <t>Xcp is the location of the Aerodynamics Center of Pressure, 
measured from the tip of the nose cone.</t>
        </r>
      </text>
    </comment>
    <comment ref="F32" authorId="2" shapeId="0" xr:uid="{00000000-0006-0000-0000-00001D000000}">
      <text>
        <r>
          <rPr>
            <sz val="8"/>
            <color rgb="FF000000"/>
            <rFont val="Tahoma"/>
            <family val="2"/>
          </rPr>
          <t xml:space="preserve">Cette Marge Statique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</t>
        </r>
        <r>
          <rPr>
            <b/>
            <sz val="8"/>
            <color rgb="FF000000"/>
            <rFont val="Tahoma"/>
            <family val="2"/>
          </rPr>
          <t>% de la Longueur</t>
        </r>
        <r>
          <rPr>
            <sz val="8"/>
            <color rgb="FF000000"/>
            <rFont val="Tahoma"/>
            <family val="2"/>
          </rPr>
          <t xml:space="preserve"> de la fusée, pour une fusée avec propulseur plein puis vide.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This Static Margin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>measured in % of rocket length, for a rocket with loaded motor, then empty motor.</t>
        </r>
      </text>
    </comment>
    <comment ref="B33" authorId="0" shapeId="0" xr:uid="{00000000-0006-0000-0000-00001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34" authorId="0" shapeId="0" xr:uid="{00000000-0006-0000-0000-00001F000000}">
      <text>
        <r>
          <rPr>
            <sz val="8"/>
            <color indexed="8"/>
            <rFont val="Tahoma"/>
            <family val="2"/>
          </rPr>
          <t xml:space="preserve">Diamètre du fuselage au niveau des ailerons.
</t>
        </r>
        <r>
          <rPr>
            <i/>
            <sz val="8"/>
            <color indexed="8"/>
            <rFont val="Tahoma"/>
            <family val="2"/>
          </rPr>
          <t>Diameter of the body at the level of the fins.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Léo Côme</author>
    <author>Léo</author>
    <author>Sylvain Besson</author>
    <author>collectif</author>
  </authors>
  <commentList>
    <comment ref="B10" authorId="0" shapeId="0" xr:uid="{00000000-0006-0000-0100-000001000000}">
      <text>
        <r>
          <rPr>
            <sz val="8"/>
            <color indexed="8"/>
            <rFont val="Tahoma"/>
            <family val="2"/>
          </rPr>
          <t xml:space="preserve">Masse au décollage,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Lift-Off mass, to be changed in Stabilito sheet,
or with the buttons (then recheck stability).</t>
        </r>
      </text>
    </comment>
    <comment ref="B11" authorId="0" shapeId="0" xr:uid="{00000000-0006-0000-0100-000002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4" authorId="1" shapeId="0" xr:uid="{00000000-0006-0000-0100-000003000000}">
      <text>
        <r>
          <rPr>
            <sz val="8"/>
            <color indexed="8"/>
            <rFont val="Tahoma"/>
            <family val="2"/>
          </rPr>
          <t xml:space="preserve">La Surface de Référence utilisée pour le calcul de la Traînée est la surface projetée dans l'axe de la fusée. Ce </t>
        </r>
        <r>
          <rPr>
            <b/>
            <sz val="8"/>
            <color indexed="8"/>
            <rFont val="Tahoma"/>
            <family val="2"/>
          </rPr>
          <t>Maître Couple</t>
        </r>
        <r>
          <rPr>
            <sz val="8"/>
            <color indexed="8"/>
            <rFont val="Tahoma"/>
            <family val="2"/>
          </rPr>
          <t xml:space="preserve"> inclut donc l'épaisseur des ailerons.
</t>
        </r>
        <r>
          <rPr>
            <i/>
            <sz val="8"/>
            <color indexed="8"/>
            <rFont val="Tahoma"/>
            <family val="2"/>
          </rPr>
          <t>Reference Surface used to compute the Drag. It includes Fin thickness.</t>
        </r>
      </text>
    </comment>
    <comment ref="B15" authorId="1" shapeId="0" xr:uid="{00000000-0006-0000-0100-000004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  <comment ref="B18" authorId="1" shapeId="0" xr:uid="{00000000-0006-0000-0100-000005000000}">
      <text>
        <r>
          <rPr>
            <b/>
            <sz val="8"/>
            <color indexed="8"/>
            <rFont val="Tahoma"/>
            <family val="2"/>
          </rPr>
          <t>Longueur de la rampe de lancement.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i/>
            <sz val="8"/>
            <color indexed="8"/>
            <rFont val="Tahoma"/>
            <family val="2"/>
          </rPr>
          <t xml:space="preserve">                                          Length of the launch pad.</t>
        </r>
        <r>
          <rPr>
            <sz val="8"/>
            <color indexed="8"/>
            <rFont val="Tahoma"/>
            <family val="2"/>
          </rPr>
          <t xml:space="preserve">
Valeurs courantes :                  </t>
        </r>
        <r>
          <rPr>
            <i/>
            <sz val="8"/>
            <color indexed="8"/>
            <rFont val="Tahoma"/>
            <family val="2"/>
          </rPr>
          <t>Average values :</t>
        </r>
        <r>
          <rPr>
            <sz val="8"/>
            <color indexed="8"/>
            <rFont val="Tahoma"/>
            <family val="2"/>
          </rPr>
          <t xml:space="preserve">
MicroFusée                  : 1m  :    </t>
        </r>
        <r>
          <rPr>
            <i/>
            <sz val="8"/>
            <color indexed="8"/>
            <rFont val="Tahoma"/>
            <family val="2"/>
          </rPr>
          <t>Micro-rocket</t>
        </r>
        <r>
          <rPr>
            <sz val="8"/>
            <color indexed="8"/>
            <rFont val="Tahoma"/>
            <family val="2"/>
          </rPr>
          <t xml:space="preserve">
MiniFusée                    : 2m5:   </t>
        </r>
        <r>
          <rPr>
            <i/>
            <sz val="8"/>
            <color indexed="8"/>
            <rFont val="Tahoma"/>
            <family val="2"/>
          </rPr>
          <t xml:space="preserve"> Mini-rocket
Rocketry Challenge    </t>
        </r>
        <r>
          <rPr>
            <sz val="8"/>
            <color indexed="8"/>
            <rFont val="Tahoma"/>
            <family val="2"/>
          </rPr>
          <t xml:space="preserve">: 3m
Fusée Expérimentale  : 4m  :   </t>
        </r>
        <r>
          <rPr>
            <i/>
            <sz val="8"/>
            <color indexed="8"/>
            <rFont val="Tahoma"/>
            <family val="2"/>
          </rPr>
          <t>Experimental Rocket</t>
        </r>
      </text>
    </comment>
    <comment ref="B19" authorId="1" shapeId="0" xr:uid="{00000000-0006-0000-0100-000006000000}">
      <text>
        <r>
          <rPr>
            <sz val="8"/>
            <color indexed="8"/>
            <rFont val="Tahoma"/>
            <family val="2"/>
          </rPr>
          <t xml:space="preserve">Elévation de la rampe, angle par rapport à l'horizontale, "site" de la rampe, par défaut cet angle est à 80°.
</t>
        </r>
        <r>
          <rPr>
            <i/>
            <sz val="8"/>
            <color indexed="8"/>
            <rFont val="Tahoma"/>
            <family val="2"/>
          </rPr>
          <t>Angle of the lauch pad versus horizontal.</t>
        </r>
      </text>
    </comment>
    <comment ref="B20" authorId="1" shapeId="0" xr:uid="{00000000-0006-0000-0100-000007000000}">
      <text>
        <r>
          <rPr>
            <sz val="8"/>
            <color indexed="8"/>
            <rFont val="Tahoma"/>
            <family val="2"/>
          </rPr>
          <t xml:space="preserve">L'Altitude de la rampe est utilisée pour calculer la densité de l'air.
</t>
        </r>
        <r>
          <rPr>
            <i/>
            <sz val="8"/>
            <color indexed="8"/>
            <rFont val="Tahoma"/>
            <family val="2"/>
          </rPr>
          <t>Launch Pad Altitude is used to compute the air density.</t>
        </r>
      </text>
    </comment>
    <comment ref="D23" authorId="2" shapeId="0" xr:uid="{00000000-0006-0000-0100-000008000000}">
      <text>
        <r>
          <rPr>
            <b/>
            <sz val="8"/>
            <color rgb="FF000000"/>
            <rFont val="Tahoma"/>
            <family val="2"/>
          </rPr>
          <t>Objet largué</t>
        </r>
        <r>
          <rPr>
            <sz val="8"/>
            <color rgb="FF000000"/>
            <rFont val="Tahoma"/>
            <family val="2"/>
          </rPr>
          <t xml:space="preserve"> (CanSat, quasi-satellite, partie contenant l'œuf...)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Separated object (CanSat, quasi-satellite, payload/egg...)</t>
        </r>
      </text>
    </comment>
    <comment ref="K23" authorId="1" shapeId="0" xr:uid="{00000000-0006-0000-0100-000009000000}">
      <text>
        <r>
          <rPr>
            <sz val="8"/>
            <color indexed="8"/>
            <rFont val="Tahoma"/>
            <family val="2"/>
          </rPr>
          <t xml:space="preserve">La Vitesse en Sortie de Rampe doit être supérieure à 18m/s (MiniFusée) ou 20m/s (Fusée Exp.).
Alléger la fusée ou choisir un propu plus puissant.
</t>
        </r>
        <r>
          <rPr>
            <i/>
            <sz val="8"/>
            <color indexed="8"/>
            <rFont val="Tahoma"/>
            <family val="2"/>
          </rPr>
          <t>Speed at Launch Pad Exit must by higher than 18m/s (mini-rocket) or 20m/s (experimental rocket).
Lighten the rocket or choose a bigger motor.</t>
        </r>
      </text>
    </comment>
    <comment ref="C24" authorId="2" shapeId="0" xr:uid="{00000000-0006-0000-0100-00000A000000}">
      <text>
        <r>
          <rPr>
            <sz val="8"/>
            <color indexed="8"/>
            <rFont val="Tahoma"/>
            <family val="2"/>
          </rPr>
          <t xml:space="preserve">Masse de la fusée (sans satellite) sous parachute.
</t>
        </r>
        <r>
          <rPr>
            <i/>
            <sz val="8"/>
            <color indexed="8"/>
            <rFont val="Tahoma"/>
            <family val="2"/>
          </rPr>
          <t>Mass of the rocket (w/o sat) when it fall with a parachute.</t>
        </r>
      </text>
    </comment>
    <comment ref="M27" authorId="3" shapeId="0" xr:uid="{00000000-0006-0000-0100-00000B000000}">
      <text>
        <r>
          <rPr>
            <sz val="8"/>
            <color indexed="81"/>
            <rFont val="Tahoma"/>
            <family val="2"/>
          </rPr>
          <t xml:space="preserve">Efforts sur les fixations du parachute lors de sont ouverture.
</t>
        </r>
        <r>
          <rPr>
            <i/>
            <sz val="8"/>
            <color indexed="81"/>
            <rFont val="Tahoma"/>
            <family val="2"/>
          </rPr>
          <t>Stress on the parachute's bindings when it opened.</t>
        </r>
      </text>
    </comment>
    <comment ref="B28" authorId="1" shapeId="0" xr:uid="{00000000-0006-0000-0100-00000C000000}">
      <text>
        <r>
          <rPr>
            <sz val="8"/>
            <color indexed="8"/>
            <rFont val="Tahoma"/>
            <family val="2"/>
          </rPr>
          <t xml:space="preserve">Le Coefficient de Traînée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(ou Cd) d'un parachute est généralement compris entre 0.7 et 1.4 (1 par défaut).
</t>
        </r>
        <r>
          <rPr>
            <i/>
            <sz val="8"/>
            <color indexed="8"/>
            <rFont val="Tahoma"/>
            <family val="2"/>
          </rPr>
          <t xml:space="preserve">Parachute Drag Coefficient </t>
        </r>
        <r>
          <rPr>
            <b/>
            <i/>
            <sz val="8"/>
            <color indexed="8"/>
            <rFont val="Tahoma"/>
            <family val="2"/>
          </rPr>
          <t>Cx</t>
        </r>
        <r>
          <rPr>
            <i/>
            <sz val="8"/>
            <color indexed="8"/>
            <rFont val="Tahoma"/>
            <family val="2"/>
          </rPr>
          <t xml:space="preserve"> (or Cd) should be between 0.7 and 1.4, with a default value of 1.</t>
        </r>
      </text>
    </comment>
    <comment ref="M28" authorId="3" shapeId="0" xr:uid="{00000000-0006-0000-0100-00000D000000}">
      <text>
        <r>
          <rPr>
            <sz val="8"/>
            <color indexed="81"/>
            <rFont val="Tahoma"/>
            <family val="2"/>
          </rPr>
          <t>Energie libérée lors de l'impact balistique.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Balistic impact energy</t>
        </r>
      </text>
    </comment>
    <comment ref="B30" authorId="4" shapeId="0" xr:uid="{00000000-0006-0000-0100-00000E000000}">
      <text>
        <r>
          <rPr>
            <sz val="8"/>
            <color indexed="81"/>
            <rFont val="Tahoma"/>
            <family val="2"/>
          </rPr>
          <t xml:space="preserve">La Vitesse de descente sous parachute doit être comprise entre 5 &amp; 15m/s.
</t>
        </r>
        <r>
          <rPr>
            <i/>
            <sz val="8"/>
            <color indexed="81"/>
            <rFont val="Tahoma"/>
            <family val="2"/>
          </rPr>
          <t>Fall Velocity with parachute must be between 5 &amp; 15 m/s.</t>
        </r>
      </text>
    </comment>
    <comment ref="B33" authorId="0" shapeId="0" xr:uid="{00000000-0006-0000-0100-00000F000000}">
      <text>
        <r>
          <rPr>
            <sz val="8"/>
            <color indexed="8"/>
            <rFont val="Tahoma"/>
            <family val="2"/>
          </rPr>
          <t xml:space="preserve">Déviation due au vent lors de la descente sous parachute.
</t>
        </r>
        <r>
          <rPr>
            <i/>
            <sz val="8"/>
            <color indexed="8"/>
            <rFont val="Tahoma"/>
            <family val="2"/>
          </rPr>
          <t>Deviation due to wind during the fall over parachute.</t>
        </r>
      </text>
    </comment>
    <comment ref="F40" authorId="1" shapeId="0" xr:uid="{00000000-0006-0000-0100-000010000000}">
      <text>
        <r>
          <rPr>
            <sz val="8"/>
            <color indexed="8"/>
            <rFont val="Tahoma"/>
            <family val="2"/>
          </rPr>
          <t xml:space="preserve">Les Conditions Initiales permettent de simuler le 2e boost des fusée bi-étage ou des fusées larguant une masse (CanSat, bi-inerte). Laisser à 0 dans les autres cas.
</t>
        </r>
        <r>
          <rPr>
            <i/>
            <sz val="8"/>
            <color indexed="8"/>
            <rFont val="Tahoma"/>
            <family val="2"/>
          </rPr>
          <t>Initial Conditions can be used to simulate the 2nd boost of 2-stages rockets, or rocket releasing mass (Quasi-Satellites). Set them to 0 otherwise.</t>
        </r>
      </text>
    </comment>
    <comment ref="I40" authorId="1" shapeId="0" xr:uid="{00000000-0006-0000-0100-000011000000}">
      <text>
        <r>
          <rPr>
            <sz val="8"/>
            <color indexed="8"/>
            <rFont val="Tahoma"/>
            <family val="2"/>
          </rPr>
          <t xml:space="preserve">Altitude par rapport à la rampe, par rapport au sol.
</t>
        </r>
        <r>
          <rPr>
            <i/>
            <sz val="8"/>
            <color indexed="8"/>
            <rFont val="Tahoma"/>
            <family val="2"/>
          </rPr>
          <t>Altitude with respect to the earth surface.</t>
        </r>
      </text>
    </comment>
    <comment ref="K40" authorId="1" shapeId="0" xr:uid="{00000000-0006-0000-0100-000012000000}">
      <text>
        <r>
          <rPr>
            <sz val="8"/>
            <color indexed="8"/>
            <rFont val="Tahoma"/>
            <family val="2"/>
          </rPr>
          <t xml:space="preserve">La vitesse initiale doit être non-nulle dans le cas d'un 2e boost (allumage hors de la rampe, Portée et Altitude non-nulles).
</t>
        </r>
        <r>
          <rPr>
            <i/>
            <sz val="8"/>
            <color indexed="8"/>
            <rFont val="Tahoma"/>
            <family val="2"/>
          </rPr>
          <t>Initial Velocity must be non-zero in case of 2nd boost (ignition without launch pad, non-zero Range and Altitude).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M363040</author>
    <author>Léo Côme</author>
  </authors>
  <commentList>
    <comment ref="B10" authorId="0" shapeId="0" xr:uid="{00000000-0006-0000-0500-000001000000}">
      <text>
        <r>
          <rPr>
            <sz val="8"/>
            <color indexed="8"/>
            <rFont val="Tahoma"/>
            <family val="2"/>
          </rPr>
          <t xml:space="preserve">Masse sans propu,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Rocket mass without motor, to be changed in Stabilito sheet,
or with the buttons (then recheck stability).</t>
        </r>
      </text>
    </comment>
    <comment ref="B11" authorId="0" shapeId="0" xr:uid="{00000000-0006-0000-0500-000002000000}">
      <text>
        <r>
          <rPr>
            <sz val="8"/>
            <color indexed="8"/>
            <rFont val="Tahoma"/>
            <family val="2"/>
          </rPr>
          <t>Masse totale, à changer dans la feuille Stabilito,
ou à l'aide des boutons (revérifiez alors la stabilité).
Rocket total mass, to be changed in Stabilito sheet,
or with the buttons (then recheck stability).</t>
        </r>
      </text>
    </comment>
    <comment ref="B12" authorId="0" shapeId="0" xr:uid="{00000000-0006-0000-0500-000003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5" authorId="1" shapeId="0" xr:uid="{00000000-0006-0000-0500-000004000000}">
      <text>
        <r>
          <rPr>
            <sz val="8"/>
            <color indexed="8"/>
            <rFont val="Tahoma"/>
            <family val="2"/>
          </rPr>
          <t xml:space="preserve">Diamètre de référence. D_réf = D_ogive ou le diamètre "principal".
</t>
        </r>
        <r>
          <rPr>
            <i/>
            <sz val="8"/>
            <color indexed="8"/>
            <rFont val="Tahoma"/>
            <family val="2"/>
          </rPr>
          <t>Reference Diameter. D_ref = D_ogive or the "main" diameter.</t>
        </r>
      </text>
    </comment>
    <comment ref="B16" authorId="2" shapeId="0" xr:uid="{00000000-0006-0000-0500-000005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Léo</author>
  </authors>
  <commentList>
    <comment ref="E5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Masse volumique de l'air (ρ) à P=1013,25hPa &amp; T=15°C.
Utilisée tel quel pour la descente sous parachute,
utilisée comme référence (z=0) pour le calcul de ρ en fonction de l'altitude dans le calcul de la trajectoire pas à pas.
Idéalement, valeur à adapter aux conditions atmosphériques au moment du lancement.
</t>
        </r>
        <r>
          <rPr>
            <i/>
            <sz val="8"/>
            <color indexed="81"/>
            <rFont val="Tahoma"/>
            <family val="2"/>
          </rPr>
          <t>Air density (ρ) at P=1013,25hPa &amp; T=15°C.</t>
        </r>
      </text>
    </comment>
  </commentList>
</comments>
</file>

<file path=xl/sharedStrings.xml><?xml version="1.0" encoding="utf-8"?>
<sst xmlns="http://schemas.openxmlformats.org/spreadsheetml/2006/main" count="1716" uniqueCount="560">
  <si>
    <t>TRAJECTO</t>
  </si>
  <si>
    <t>Français</t>
  </si>
  <si>
    <t>t</t>
  </si>
  <si>
    <t>x</t>
  </si>
  <si>
    <t>Club</t>
  </si>
  <si>
    <t>Cx</t>
  </si>
  <si>
    <t>Altitude</t>
  </si>
  <si>
    <t>m/s²</t>
  </si>
  <si>
    <t>kg/m3</t>
  </si>
  <si>
    <t>Surface para</t>
  </si>
  <si>
    <t>Cx parachute</t>
  </si>
  <si>
    <t>Temps</t>
  </si>
  <si>
    <t>Altitude z</t>
  </si>
  <si>
    <t>Accélération</t>
  </si>
  <si>
    <t>-</t>
  </si>
  <si>
    <t>Culmination, Apogée</t>
  </si>
  <si>
    <t>~0</t>
  </si>
  <si>
    <t>Forces</t>
  </si>
  <si>
    <t>Accélération longitudinale</t>
  </si>
  <si>
    <t>pas</t>
  </si>
  <si>
    <t>Beta</t>
  </si>
  <si>
    <t>BetaD</t>
  </si>
  <si>
    <t>Débit</t>
  </si>
  <si>
    <t>Trainée</t>
  </si>
  <si>
    <t>Rho</t>
  </si>
  <si>
    <t>Poussée</t>
  </si>
  <si>
    <t>i_P</t>
  </si>
  <si>
    <t>Poids</t>
  </si>
  <si>
    <t>R_rampe</t>
  </si>
  <si>
    <t>z</t>
  </si>
  <si>
    <t>non-gravit.</t>
  </si>
  <si>
    <t>gravitationnelle</t>
  </si>
  <si>
    <t>Ligne</t>
  </si>
  <si>
    <t>Temps (en s)</t>
  </si>
  <si>
    <t>Poussée (en N)</t>
  </si>
  <si>
    <t>Isard</t>
  </si>
  <si>
    <t>Chamois</t>
  </si>
  <si>
    <t>Pro75-2G</t>
  </si>
  <si>
    <t>espace@planete-sciences.org</t>
  </si>
  <si>
    <t>m</t>
  </si>
  <si>
    <t>http://www.planete-sciences.org/espace/basedoc/</t>
  </si>
  <si>
    <t>Surface Réf.</t>
  </si>
  <si>
    <t>Angle</t>
  </si>
  <si>
    <t>Léo Côme</t>
  </si>
  <si>
    <t>Notes :</t>
  </si>
  <si>
    <t>Aucun (2e ét. inerte)</t>
  </si>
  <si>
    <t>z para</t>
  </si>
  <si>
    <t>z sat</t>
  </si>
  <si>
    <t>xz max</t>
  </si>
  <si>
    <t>t para</t>
  </si>
  <si>
    <t>x para</t>
  </si>
  <si>
    <t>t sat</t>
  </si>
  <si>
    <t>x sat</t>
  </si>
  <si>
    <t>Moteurs Rocketry-Challenge, bug Surface_parachute, Satellite, bug Ooo</t>
  </si>
  <si>
    <t>STABILITO</t>
  </si>
  <si>
    <t>Type</t>
  </si>
  <si>
    <t>XCp</t>
  </si>
  <si>
    <t>MpropuPlein</t>
  </si>
  <si>
    <t>XpropuPlein</t>
  </si>
  <si>
    <t>MpropuVide</t>
  </si>
  <si>
    <t>XpropuVide</t>
  </si>
  <si>
    <t>Longueur</t>
  </si>
  <si>
    <t>Diamètre</t>
  </si>
  <si>
    <t>Min</t>
  </si>
  <si>
    <t>Max</t>
  </si>
  <si>
    <t>Finesse</t>
  </si>
  <si>
    <t>Cnα</t>
  </si>
  <si>
    <t>MS /L</t>
  </si>
  <si>
    <t>English</t>
  </si>
  <si>
    <t>X longi</t>
  </si>
  <si>
    <t>Y latéral</t>
  </si>
  <si>
    <t>- Y latéral</t>
  </si>
  <si>
    <t>Pointe</t>
  </si>
  <si>
    <t>Ogive</t>
  </si>
  <si>
    <t>chmt1 pt1</t>
  </si>
  <si>
    <t>chmt1 pt2</t>
  </si>
  <si>
    <t>chmt2 pt1</t>
  </si>
  <si>
    <t>chmt2 pt2</t>
  </si>
  <si>
    <t>culot</t>
  </si>
  <si>
    <t>aileron pt1</t>
  </si>
  <si>
    <t>aileron pt2</t>
  </si>
  <si>
    <t>aileron pt3</t>
  </si>
  <si>
    <t>aileron pt4</t>
  </si>
  <si>
    <t>Xcg plein</t>
  </si>
  <si>
    <t>Xcg vide</t>
  </si>
  <si>
    <t>Xcp</t>
  </si>
  <si>
    <t>canard pt1</t>
  </si>
  <si>
    <t>canard pt2</t>
  </si>
  <si>
    <t>canard pt3</t>
  </si>
  <si>
    <t>canard pt4</t>
  </si>
  <si>
    <t>masquage pt1</t>
  </si>
  <si>
    <t>masquage pt2</t>
  </si>
  <si>
    <t>masquage pt3</t>
  </si>
  <si>
    <t>masquage pt4</t>
  </si>
  <si>
    <t>cadre</t>
  </si>
  <si>
    <t>propu pt1</t>
  </si>
  <si>
    <t>propu pt2</t>
  </si>
  <si>
    <t>propu pt3</t>
  </si>
  <si>
    <t>propu pt4</t>
  </si>
  <si>
    <t>propu pt5</t>
  </si>
  <si>
    <t>MS (X)</t>
  </si>
  <si>
    <t>Cna (Y)</t>
  </si>
  <si>
    <t>2002-2007</t>
  </si>
  <si>
    <t>Stabilito V1.x</t>
  </si>
  <si>
    <t>Stabilito V2.0</t>
  </si>
  <si>
    <t>Stabilito V2.1</t>
  </si>
  <si>
    <t>Stabilito V2.2</t>
  </si>
  <si>
    <t>Trajecto V1.x</t>
  </si>
  <si>
    <t>Trajecto V2.x</t>
  </si>
  <si>
    <t>Trajecto V2.4</t>
  </si>
  <si>
    <t>Trajecto V2.5</t>
  </si>
  <si>
    <t>OpenOffice Calc</t>
  </si>
  <si>
    <t>µ-propu A8-3</t>
  </si>
  <si>
    <t>µ-propu B4-4</t>
  </si>
  <si>
    <t>µ-propu C6-3</t>
  </si>
  <si>
    <t>ISP</t>
  </si>
  <si>
    <t>I_total</t>
  </si>
  <si>
    <t>I_total_i (en N.s)</t>
  </si>
  <si>
    <t>Micro</t>
  </si>
  <si>
    <t>Fusex</t>
  </si>
  <si>
    <t>Mini</t>
  </si>
  <si>
    <t>0 satellite</t>
  </si>
  <si>
    <t>1 satellite</t>
  </si>
  <si>
    <t>http://creativecommons.org/licenses/by-sa/3.0/</t>
  </si>
  <si>
    <t>VL4</t>
  </si>
  <si>
    <t>Vsortie de rampe (&gt; 18 m/s)</t>
  </si>
  <si>
    <t>10 &lt; finesse &lt; 20</t>
  </si>
  <si>
    <t>15 &lt; Cn &lt; 30</t>
  </si>
  <si>
    <t>30 &lt; Ms x Cn &lt; 100</t>
  </si>
  <si>
    <t>RC1</t>
  </si>
  <si>
    <t>5 &lt; Vc &lt; 15 m/s</t>
  </si>
  <si>
    <t>RC2</t>
  </si>
  <si>
    <t>Temps de retard ralentisseur</t>
  </si>
  <si>
    <t>RC5</t>
  </si>
  <si>
    <t>Portée balistique (m)</t>
  </si>
  <si>
    <t>Temps de vol avec parachute (s)</t>
  </si>
  <si>
    <t>Culmination</t>
  </si>
  <si>
    <t>Accélération max (m/s²)</t>
  </si>
  <si>
    <t>Vmax (m/s)</t>
  </si>
  <si>
    <t>Altitude (m)</t>
  </si>
  <si>
    <t>Temps (s)</t>
  </si>
  <si>
    <t>Vitesse (m/s)</t>
  </si>
  <si>
    <t>Inclinaison</t>
  </si>
  <si>
    <t>Longueur totale</t>
  </si>
  <si>
    <t>Longueur rampe</t>
  </si>
  <si>
    <t>Epaisseur ailerons</t>
  </si>
  <si>
    <t>Nombre ailerons</t>
  </si>
  <si>
    <t>Type d'ogive</t>
  </si>
  <si>
    <t>Longueur ogive "l"</t>
  </si>
  <si>
    <t>Haut du propu "Prop"</t>
  </si>
  <si>
    <t>Diamètre "D"</t>
  </si>
  <si>
    <t>Position ailerons "L"</t>
  </si>
  <si>
    <t>M</t>
  </si>
  <si>
    <t>Microsoft Excel 2003 ou +</t>
  </si>
  <si>
    <t>s</t>
  </si>
  <si>
    <t>m/s</t>
  </si>
  <si>
    <t>°</t>
  </si>
  <si>
    <t>Transition A</t>
  </si>
  <si>
    <t>Transition B</t>
  </si>
  <si>
    <t>Jaune</t>
  </si>
  <si>
    <t>conique</t>
  </si>
  <si>
    <t>ogive</t>
  </si>
  <si>
    <t>parabole</t>
  </si>
  <si>
    <t>env pt4</t>
  </si>
  <si>
    <t>flèche pt2</t>
  </si>
  <si>
    <t>saumon pt3</t>
  </si>
  <si>
    <t>flèche milieu</t>
  </si>
  <si>
    <t>env milieu</t>
  </si>
  <si>
    <t>saumon milieu</t>
  </si>
  <si>
    <t>empl milieu</t>
  </si>
  <si>
    <t>empl pt4</t>
  </si>
  <si>
    <t>MS milieu</t>
  </si>
  <si>
    <t>MS Xcp</t>
  </si>
  <si>
    <t>1s</t>
  </si>
  <si>
    <t>t/T</t>
  </si>
  <si>
    <t>z/Z</t>
  </si>
  <si>
    <t>vertical</t>
  </si>
  <si>
    <t>horizontal</t>
  </si>
  <si>
    <t>flèches</t>
  </si>
  <si>
    <t>StabTraj</t>
  </si>
  <si>
    <t>StabTraj V3.0</t>
  </si>
  <si>
    <t>Trajecto</t>
  </si>
  <si>
    <t>µ-propu</t>
  </si>
  <si>
    <t>Minif</t>
  </si>
  <si>
    <t xml:space="preserve"> </t>
  </si>
  <si>
    <t>Événements</t>
  </si>
  <si>
    <t>Sous-échantillon 1Hz</t>
  </si>
  <si>
    <t>pos_x</t>
  </si>
  <si>
    <t>pos_z</t>
  </si>
  <si>
    <t>pos_xz</t>
  </si>
  <si>
    <t>vit_x</t>
  </si>
  <si>
    <t>vit_z</t>
  </si>
  <si>
    <t>vit_xz</t>
  </si>
  <si>
    <t>acc_x</t>
  </si>
  <si>
    <t>acc_z</t>
  </si>
  <si>
    <t>acc_xz</t>
  </si>
  <si>
    <t>Donneés au format des fiches de contrôles Fusex :</t>
  </si>
  <si>
    <t>Diamètre max</t>
  </si>
  <si>
    <t>Envergure totale</t>
  </si>
  <si>
    <t>sans</t>
  </si>
  <si>
    <t>vide</t>
  </si>
  <si>
    <t>plein</t>
  </si>
  <si>
    <t>Masse</t>
  </si>
  <si>
    <t>STAB 1</t>
  </si>
  <si>
    <t>STAB 2</t>
  </si>
  <si>
    <t>STAB 3</t>
  </si>
  <si>
    <t>STAB 4</t>
  </si>
  <si>
    <t>STAB 5</t>
  </si>
  <si>
    <t>Vsortie de rampe (&gt; 20 m/s)</t>
  </si>
  <si>
    <t>10 &lt; finesse &lt; 35</t>
  </si>
  <si>
    <t>15 &lt; Portance &lt; 40</t>
  </si>
  <si>
    <t>2*D &lt; Ms &lt; 6*D</t>
  </si>
  <si>
    <t>40 &lt; Ms x Cn &lt; 100</t>
  </si>
  <si>
    <t>Maître couple (m²)</t>
  </si>
  <si>
    <t>Site</t>
  </si>
  <si>
    <t>Temps balistique (s)</t>
  </si>
  <si>
    <t>Temps culmi (s)</t>
  </si>
  <si>
    <t>Altitude culmi (m)</t>
  </si>
  <si>
    <t>Vitesse culmi (m/s)</t>
  </si>
  <si>
    <t>CdG</t>
  </si>
  <si>
    <t>Diamètre max (40à200)</t>
  </si>
  <si>
    <t>Envergure totale &lt;720</t>
  </si>
  <si>
    <t>Masse &lt;15</t>
  </si>
  <si>
    <t>Pensez à modifier l'inclinaison pour avoir les 2 valeurs.</t>
  </si>
  <si>
    <t>Resist long aileron</t>
  </si>
  <si>
    <t>Resist transv aileron</t>
  </si>
  <si>
    <t>Compression 2.Acc.M</t>
  </si>
  <si>
    <t>N</t>
  </si>
  <si>
    <t>kg</t>
  </si>
  <si>
    <t>Surface aileron (m²)</t>
  </si>
  <si>
    <t>Masse aileron (kg)</t>
  </si>
  <si>
    <t>T dépotage +/-2s /appogée</t>
  </si>
  <si>
    <t>REC 2</t>
  </si>
  <si>
    <t>SEQ 5</t>
  </si>
  <si>
    <t>CR 1</t>
  </si>
  <si>
    <t>CR 2</t>
  </si>
  <si>
    <t>MEC 3</t>
  </si>
  <si>
    <t>Vitesse à l'ouverture m/s</t>
  </si>
  <si>
    <t>Surface parachute m²</t>
  </si>
  <si>
    <t xml:space="preserve">Choc à l'ouverture   N </t>
  </si>
  <si>
    <t>Choc à l'ouverture   kg</t>
  </si>
  <si>
    <t>Compression porte</t>
  </si>
  <si>
    <t>Masse au-dessus porte</t>
  </si>
  <si>
    <t>REC 8</t>
  </si>
  <si>
    <t>rad</t>
  </si>
  <si>
    <t>kg/s</t>
  </si>
  <si>
    <t>Méthodes d'intégration maison</t>
  </si>
  <si>
    <t>Wikipedia</t>
  </si>
  <si>
    <t>Pour se limiter à 1000 lignes, pas variable (les transitions sont-elles rigoureuses ?).</t>
  </si>
  <si>
    <t>Le Vol de la Fusée</t>
  </si>
  <si>
    <t>Beeman (2nd order, explicit variant)</t>
  </si>
  <si>
    <t>Newmark-beta (with γ=1/2 &amp; β=1/4) (2nd order)</t>
  </si>
  <si>
    <t>Spécificités de notre problème (2nd order mechanical ODE) :</t>
  </si>
  <si>
    <t>Verlet (2-stage 2nd order, symplectic, explicit)</t>
  </si>
  <si>
    <t>Trajec 2.x utililse un mélange douteux de différentes méthodes :</t>
  </si>
  <si>
    <t>Méthodes d'intégration explicites officielles</t>
  </si>
  <si>
    <t>On peut anticiper la Poussée (force qui varie le +) et la masse.</t>
  </si>
  <si>
    <t>L'Acc dépend de la vitesse (et peu de la position).</t>
  </si>
  <si>
    <t>Semi-implicit Euler (1st order, symplectic) [§ "Euler modifié" dans Le Vol de La Fusée]</t>
  </si>
  <si>
    <t>Explicit Euler (1st order, non-symplectic) [RK1]</t>
  </si>
  <si>
    <t>Velocity Verlet, Leapfrog variant (2nd order, symplectic, explicit)</t>
  </si>
  <si>
    <t>Midpoint, Modified Euler (2nd order, explicit) [§ "RK2" dans Le Vol de La Fusée]</t>
  </si>
  <si>
    <t>Heun, Improved Euler (2-stage 2nd-order, explicit, predictor-corrector) [Trapezoidal] [RK2]</t>
  </si>
  <si>
    <t>Les méthodes symplectic (conserve l'énergie) gardent-elles leur avantage quand la masse varie (ph propu) ?</t>
  </si>
  <si>
    <t>Sous Excel, on a les pas précédent (linear multistep possible), mais ordre élevé ou implicite sont à exclure.</t>
  </si>
  <si>
    <t>Multi{sub}step (RK), linear multi{previous}step (ADAMS), predictor-corrector, implicit …</t>
  </si>
  <si>
    <t>Dynamique de la fusée (repère sol)</t>
  </si>
  <si>
    <t>Trajecto/StabTraj corrige l'erreur de Trajec sur Xn+1 en utilisant la vitesse moyenne :</t>
  </si>
  <si>
    <t>Idéalement, il serait préférable de tout calculer à n+0.5 (m, V, β, ρ).</t>
  </si>
  <si>
    <t>Checksum :</t>
  </si>
  <si>
    <t>M_éjecté</t>
  </si>
  <si>
    <t>M_burnout</t>
  </si>
  <si>
    <t>m_poudre</t>
  </si>
  <si>
    <t>Wapiti</t>
  </si>
  <si>
    <t>Cariacou</t>
  </si>
  <si>
    <t>H2O</t>
  </si>
  <si>
    <t>H2O 2.0L 400g 6bar</t>
  </si>
  <si>
    <t>H2O 2.0L 600g 6bar</t>
  </si>
  <si>
    <t>H2O 2.0L 800g 6bar</t>
  </si>
  <si>
    <t>H2O 2.0L 1000g 6bar</t>
  </si>
  <si>
    <t>ABACO</t>
  </si>
  <si>
    <t>Masse totale</t>
  </si>
  <si>
    <t>Traînée prop</t>
  </si>
  <si>
    <t>Traînée bal</t>
  </si>
  <si>
    <t>1/2.ρ.S.Cx</t>
  </si>
  <si>
    <t>M ph prop</t>
  </si>
  <si>
    <t>M ph bal</t>
  </si>
  <si>
    <t>alt_prop</t>
  </si>
  <si>
    <t>V_prop</t>
  </si>
  <si>
    <t>t_culmi</t>
  </si>
  <si>
    <t>D_var</t>
  </si>
  <si>
    <t>Q_var</t>
  </si>
  <si>
    <t>m_var</t>
  </si>
  <si>
    <t>m_prop</t>
  </si>
  <si>
    <t>m_bal</t>
  </si>
  <si>
    <t>a_prop</t>
  </si>
  <si>
    <t>b_prop</t>
  </si>
  <si>
    <t>b_bal</t>
  </si>
  <si>
    <t>Alt prop</t>
  </si>
  <si>
    <t>V max</t>
  </si>
  <si>
    <t>LibreOffice Calc 3.4 ou +</t>
  </si>
  <si>
    <t>alt_culmi</t>
  </si>
  <si>
    <t>x_triomphe</t>
  </si>
  <si>
    <t>z_triomphe</t>
  </si>
  <si>
    <t>Arc de triomphe</t>
  </si>
  <si>
    <t>z_Eiffel</t>
  </si>
  <si>
    <t>x_Eiffel</t>
  </si>
  <si>
    <t>Tour Eiffel</t>
  </si>
  <si>
    <t>H2O 1.5L 300g 6bar</t>
  </si>
  <si>
    <t>H2O 1.5L 450g 6bar</t>
  </si>
  <si>
    <t>H2O 1.5L 600g 6bar</t>
  </si>
  <si>
    <t>H2O 1.5L 750g 6bar</t>
  </si>
  <si>
    <t>FUSEX</t>
  </si>
  <si>
    <t>MINIF PRO29-1G</t>
  </si>
  <si>
    <t>MINIF PRO24-3G</t>
  </si>
  <si>
    <t>MINIF PRO29-2G</t>
  </si>
  <si>
    <t>MINIF PRO24-1G</t>
  </si>
  <si>
    <t>Pro98-2G WT</t>
  </si>
  <si>
    <t>Pro98-3G WT</t>
  </si>
  <si>
    <t>p24-1G 24E22</t>
  </si>
  <si>
    <t>p24-1G 26E31</t>
  </si>
  <si>
    <t>p24-3G 60F50</t>
  </si>
  <si>
    <t>p24-3G 68F79</t>
  </si>
  <si>
    <t>p24-3G 68F240</t>
  </si>
  <si>
    <t>p24-3G 73F30</t>
  </si>
  <si>
    <t>p24-3G 74F85</t>
  </si>
  <si>
    <t>p24-3G 75F51</t>
  </si>
  <si>
    <t>StabTraj V3.1</t>
  </si>
  <si>
    <t>StabTraj V3.2</t>
  </si>
  <si>
    <t>µ-propu C6-3 x2</t>
  </si>
  <si>
    <t>µ-propu C6-3 x3</t>
  </si>
  <si>
    <t>Propu : +RC &amp; +Tintin 2013 : 3 p24-1G, p24-3G 75F51 &amp; 60F50, Pro98-2G &amp; 3G WT</t>
  </si>
  <si>
    <t>Propu : +multi-µ-fu, -Wapiti, warning Cariacou, "Rufina"</t>
  </si>
  <si>
    <t>Donneés au format des fiches de lancement Fusex :</t>
  </si>
  <si>
    <t>Projet</t>
  </si>
  <si>
    <t>Chef de projet</t>
  </si>
  <si>
    <t>Date</t>
  </si>
  <si>
    <t>Moteur</t>
  </si>
  <si>
    <t>Virole</t>
  </si>
  <si>
    <t>MECANIQUE</t>
  </si>
  <si>
    <t xml:space="preserve">l = </t>
  </si>
  <si>
    <t xml:space="preserve">D = </t>
  </si>
  <si>
    <t>Dj =</t>
  </si>
  <si>
    <t xml:space="preserve">Dr = </t>
  </si>
  <si>
    <t xml:space="preserve">m = </t>
  </si>
  <si>
    <t>Epaisseur :</t>
  </si>
  <si>
    <t>Nb Aileron</t>
  </si>
  <si>
    <t>Type ogive</t>
  </si>
  <si>
    <t>ogivale</t>
  </si>
  <si>
    <t>parabolique</t>
  </si>
  <si>
    <t>X_plaque de poussée</t>
  </si>
  <si>
    <t>Masse fusée</t>
  </si>
  <si>
    <t>X_CdG</t>
  </si>
  <si>
    <t>Propu plein</t>
  </si>
  <si>
    <t>Sans propu</t>
  </si>
  <si>
    <t>Masse avec propu vide</t>
  </si>
  <si>
    <t>Simulation de vol</t>
  </si>
  <si>
    <t>Tenue mécanique</t>
  </si>
  <si>
    <t>masse d'un aileron</t>
  </si>
  <si>
    <t>superficie d'un aileron</t>
  </si>
  <si>
    <t>fleche acceptable(mm)</t>
  </si>
  <si>
    <t>compression</t>
  </si>
  <si>
    <t>Resistance longitudinale d'un aileron</t>
  </si>
  <si>
    <t>Resistance transversale d'un aileron</t>
  </si>
  <si>
    <t>Récupération</t>
  </si>
  <si>
    <t>Ralentisseur</t>
  </si>
  <si>
    <t>nombre de suspentes</t>
  </si>
  <si>
    <t>surface parachute</t>
  </si>
  <si>
    <t>force à tester totale</t>
  </si>
  <si>
    <t>force sur suspente</t>
  </si>
  <si>
    <t>Séparation latérale</t>
  </si>
  <si>
    <t>masse au dessus case para</t>
  </si>
  <si>
    <t>Force de compression</t>
  </si>
  <si>
    <t>MINIF PRO24-6G</t>
  </si>
  <si>
    <t>MINIF PRO38-1G</t>
  </si>
  <si>
    <t>p29-2G 84G88</t>
  </si>
  <si>
    <t>p29-2G 93G80</t>
  </si>
  <si>
    <t>p29-2G 110G250</t>
  </si>
  <si>
    <t>p29-2G 116G126</t>
  </si>
  <si>
    <t>p38-1G 137G58</t>
  </si>
  <si>
    <t>p38-1G 128G185</t>
  </si>
  <si>
    <t>p29-1G 41F36</t>
  </si>
  <si>
    <t>p29-1G 51F36</t>
  </si>
  <si>
    <t>p29-1G 55F29</t>
  </si>
  <si>
    <t>p29-1G 56F120</t>
  </si>
  <si>
    <t>p29-1G 57F59</t>
  </si>
  <si>
    <t>MINIF PRO29-3G</t>
  </si>
  <si>
    <t>p29-3G 125G131</t>
  </si>
  <si>
    <t>p38-1G 141G78</t>
  </si>
  <si>
    <t>MINIF PRO24-2G</t>
  </si>
  <si>
    <t>p24-2G 50E51</t>
  </si>
  <si>
    <t>p24-1G 53E70</t>
  </si>
  <si>
    <t>p29-3G 159G125</t>
  </si>
  <si>
    <t>Dépotage</t>
  </si>
  <si>
    <t>Combustion</t>
  </si>
  <si>
    <t>Sylvain Besson</t>
  </si>
  <si>
    <t>Minif Test</t>
  </si>
  <si>
    <t>Rocketry Challenge</t>
  </si>
  <si>
    <t>,Minif Tests</t>
  </si>
  <si>
    <t>MiniR</t>
  </si>
  <si>
    <t>MiniRN</t>
  </si>
  <si>
    <t>MiniN</t>
  </si>
  <si>
    <t>H20</t>
  </si>
  <si>
    <t>micro</t>
  </si>
  <si>
    <t>minif N</t>
  </si>
  <si>
    <t>Verification moteur</t>
  </si>
  <si>
    <t>Minif RC</t>
  </si>
  <si>
    <t>N/A</t>
  </si>
  <si>
    <t>T_para =</t>
  </si>
  <si>
    <t>-9</t>
  </si>
  <si>
    <t>-7</t>
  </si>
  <si>
    <t>-5</t>
  </si>
  <si>
    <t>-3</t>
  </si>
  <si>
    <t>-0</t>
  </si>
  <si>
    <t>Délais dépotage</t>
  </si>
  <si>
    <t>Propu : +ProX, Stabilito : séparation minif/RC, Trajecto : dépotage +rampe RC 3m</t>
  </si>
  <si>
    <t>StabTraj V3.3a</t>
  </si>
  <si>
    <t>p24-1G 25E75 (Rufina)</t>
  </si>
  <si>
    <t>Modification des alertes, +Effort subit par les parachutes</t>
  </si>
  <si>
    <t>Pour prendre en compte plsu de moteurs, il faut changer les variables "menu_type" et "liste"propu" dans le gestionnaire de noms.</t>
  </si>
  <si>
    <t>StabTraj V3.3e</t>
  </si>
  <si>
    <t>Efforts</t>
  </si>
  <si>
    <t>Xcp0</t>
  </si>
  <si>
    <t>sans propu</t>
  </si>
  <si>
    <t>Mono-empennage</t>
  </si>
  <si>
    <t>Bi-empennage</t>
  </si>
  <si>
    <t>Portée balistique &lt; 200 m</t>
  </si>
  <si>
    <t>Indication dépotage lanceur</t>
  </si>
  <si>
    <t>~0 m</t>
  </si>
  <si>
    <t>Données au format des fiches de contrôles minif :</t>
  </si>
  <si>
    <t xml:space="preserve">n = </t>
  </si>
  <si>
    <t xml:space="preserve">E = </t>
  </si>
  <si>
    <t xml:space="preserve">p = </t>
  </si>
  <si>
    <t>1,5.D &lt; Ms &lt; 6.D</t>
  </si>
  <si>
    <t xml:space="preserve">ailrons haut </t>
  </si>
  <si>
    <t>nombre</t>
  </si>
  <si>
    <t xml:space="preserve">ep = </t>
  </si>
  <si>
    <t>Fusée</t>
  </si>
  <si>
    <t>D</t>
  </si>
  <si>
    <t>L ogive</t>
  </si>
  <si>
    <t>L tot</t>
  </si>
  <si>
    <t>X prop</t>
  </si>
  <si>
    <t>Ailerons</t>
  </si>
  <si>
    <t>n</t>
  </si>
  <si>
    <t>p</t>
  </si>
  <si>
    <t>E</t>
  </si>
  <si>
    <t>X ail</t>
  </si>
  <si>
    <t>Bi empennage</t>
  </si>
  <si>
    <t>L</t>
  </si>
  <si>
    <t>D 1</t>
  </si>
  <si>
    <t>D 2</t>
  </si>
  <si>
    <t>X</t>
  </si>
  <si>
    <t>X cg (sans)</t>
  </si>
  <si>
    <t>(mm)</t>
  </si>
  <si>
    <t>Masse sans propu (kg)</t>
  </si>
  <si>
    <t>Couleur de la fusée</t>
  </si>
  <si>
    <t>Type d'éjection du para.</t>
  </si>
  <si>
    <t>Couleur du ralentisseur</t>
  </si>
  <si>
    <t>Surface ralentisseur (m²)</t>
  </si>
  <si>
    <t>Masse sans prop. (kg)</t>
  </si>
  <si>
    <t>Diamètre max (mm)</t>
  </si>
  <si>
    <t>Longeur de la rampe (m)</t>
  </si>
  <si>
    <t>Propulseur</t>
  </si>
  <si>
    <t>module rocket(){</t>
  </si>
  <si>
    <t>}</t>
  </si>
  <si>
    <t>//--------------------------------coiffe</t>
  </si>
  <si>
    <t>if (coiffe_type   == "conique"){</t>
  </si>
  <si>
    <t>//--------------------------------corps</t>
  </si>
  <si>
    <t>if (plusieur_diametres == false){</t>
  </si>
  <si>
    <t>} else {</t>
  </si>
  <si>
    <t>//--------------------------------ailerons</t>
  </si>
  <si>
    <t>aileron(coiffe_diametre, aileron_m_emplature,</t>
  </si>
  <si>
    <t xml:space="preserve"> aileron_position_bas);</t>
  </si>
  <si>
    <t>if (bi_empennage == true){</t>
  </si>
  <si>
    <t xml:space="preserve"> aileron_sup_nombre,</t>
  </si>
  <si>
    <t>rocket();</t>
  </si>
  <si>
    <t xml:space="preserve">	module aileron(diam, m, n, p, e, ep, nb, pos, masque = true){</t>
  </si>
  <si>
    <t xml:space="preserve"> 		depha =   masque ? 0 : 45 ;</t>
  </si>
  <si>
    <t xml:space="preserve">		for (angle = [0 : 360/nb : 360] ){</t>
  </si>
  <si>
    <t xml:space="preserve">			translate ([-diam*sin(angle+depha), diam*cos(angle+depha), pos-m]) {</t>
  </si>
  <si>
    <t xml:space="preserve">				rotate( [0, 0, angle+depha] ){</t>
  </si>
  <si>
    <t xml:space="preserve">	</t>
  </si>
  <si>
    <t xml:space="preserve">					polyhedron</t>
  </si>
  <si>
    <t xml:space="preserve">						(points = [</t>
  </si>
  <si>
    <t xml:space="preserve">							[+ep, 0, 0], [+ep, 0, m], [+ep, e, p+n],  [+ep, e, p],</t>
  </si>
  <si>
    <t xml:space="preserve">							[-ep, 0, 0], [-ep, 0, m], [-ep, e, p+n],  [-ep, e, p]</t>
  </si>
  <si>
    <t xml:space="preserve">							],</t>
  </si>
  <si>
    <t xml:space="preserve">						triangles = [</t>
  </si>
  <si>
    <t xml:space="preserve">							[0, 2, 1], [0, 2, 3], //carre +</t>
  </si>
  <si>
    <t xml:space="preserve">							[4, 6, 5], [4, 6, 7], //carre -</t>
  </si>
  <si>
    <t xml:space="preserve">							[0, 5, 1], [0, 5, 4],</t>
  </si>
  <si>
    <t xml:space="preserve">							[1, 6, 2], [1, 6, 5],</t>
  </si>
  <si>
    <t xml:space="preserve">							[2, 7, 3], [2, 7, 6],</t>
  </si>
  <si>
    <t xml:space="preserve">							[0, 7, 3], [0, 7, 4]</t>
  </si>
  <si>
    <t xml:space="preserve">							]</t>
  </si>
  <si>
    <t xml:space="preserve">						);</t>
  </si>
  <si>
    <t xml:space="preserve">				}</t>
  </si>
  <si>
    <t xml:space="preserve">			}</t>
  </si>
  <si>
    <t xml:space="preserve">		}</t>
  </si>
  <si>
    <t xml:space="preserve">	}	</t>
  </si>
  <si>
    <t xml:space="preserve">	module coiffe(diam, hauteur, resolution = 20.0){</t>
  </si>
  <si>
    <t xml:space="preserve">		pas = hauteur/resolution;</t>
  </si>
  <si>
    <t xml:space="preserve">		for (x = [0: pas : hauteur] ){</t>
  </si>
  <si>
    <t xml:space="preserve">			translate( [0, 0, x+pas] ){</t>
  </si>
  <si>
    <t xml:space="preserve">				cylinder(pas, pow(x, 1.0/2.0), pow(x+pas, 1.0/2.0), false);</t>
  </si>
  <si>
    <t xml:space="preserve">	}</t>
  </si>
  <si>
    <t xml:space="preserve">	cylinder(coiffe_hauteur, 0, coiffe_diametre, false);</t>
  </si>
  <si>
    <t xml:space="preserve">	translate ([0, 0, coiffe_hauteur]) {</t>
  </si>
  <si>
    <t xml:space="preserve">		cylinder(longeur_total-coiffe_hauteur, coiffe_diametre, coiffe_diametre, false);</t>
  </si>
  <si>
    <t xml:space="preserve">	//Premier cylindre</t>
  </si>
  <si>
    <t xml:space="preserve">		cylinder(diam_A_X_implantation-coiffe_hauteur, coiffe_diametre, coiffe_diametre, false);</t>
  </si>
  <si>
    <t xml:space="preserve">	//Premier chanvrin</t>
  </si>
  <si>
    <t xml:space="preserve">	translate ([0, 0, diam_A_X_implantation]) {</t>
  </si>
  <si>
    <t xml:space="preserve">		cylinder(diam_A_L_longeur, diam_A_D1_diametre, diam_A_D2_diametre, false);</t>
  </si>
  <si>
    <t xml:space="preserve">		</t>
  </si>
  <si>
    <t xml:space="preserve">	//Second cylindre</t>
  </si>
  <si>
    <t xml:space="preserve">	translate ([0, 0, diam_A_X_implantation+diam_A_L_longeur]) {</t>
  </si>
  <si>
    <t xml:space="preserve">		cylinder(diam_B_X_implantation-(diam_A_X_implantation+diam_A_L_longeur), diam_A_D2_diametre, diam_B_D1_diametre, false);</t>
  </si>
  <si>
    <t xml:space="preserve">	//Second chanvrin</t>
  </si>
  <si>
    <t xml:space="preserve">	translate ([0, 0, diam_B_X_implantation]) {</t>
  </si>
  <si>
    <t xml:space="preserve">		cylinder(diam_B_L_longeur, diam_B_D1_diametre, diam_B_D2_diametre, false);</t>
  </si>
  <si>
    <t xml:space="preserve">	//Troisieme cylindre</t>
  </si>
  <si>
    <t xml:space="preserve">	translate ([0, 0, diam_B_X_implantation + diam_B_L_longeur]) {</t>
  </si>
  <si>
    <t xml:space="preserve">		cylinder(longeur_total-(diam_B_X_implantation + diam_B_L_longeur), diam_B_D2_diametre, diam_B_D2_diametre, false);</t>
  </si>
  <si>
    <t xml:space="preserve">	 aileron_n_saumon, </t>
  </si>
  <si>
    <t xml:space="preserve">	 aileron_p_fleche,</t>
  </si>
  <si>
    <t xml:space="preserve">	 aileron_e_envergure,</t>
  </si>
  <si>
    <t xml:space="preserve">	 aileron_epaisseur,</t>
  </si>
  <si>
    <t xml:space="preserve">	 aileron_nombre,</t>
  </si>
  <si>
    <t xml:space="preserve">	aileron(coiffe_diametre, aileron_sup_m_emplature,</t>
  </si>
  <si>
    <t xml:space="preserve">	 aileron_sup_n_saumon,</t>
  </si>
  <si>
    <t xml:space="preserve">	 aileron_sup_p_fleche,</t>
  </si>
  <si>
    <t xml:space="preserve">	 aileron_sup_e_envergure,</t>
  </si>
  <si>
    <t xml:space="preserve">	 aileron_sup_epaisseur,</t>
  </si>
  <si>
    <t xml:space="preserve">	 aileron_sup_position_bas,</t>
  </si>
  <si>
    <t xml:space="preserve">	 aileron_sup_masque);</t>
  </si>
  <si>
    <t>p24-6G 140G145 PK</t>
  </si>
  <si>
    <t>p24-6G 139G107 DT</t>
  </si>
  <si>
    <t>p24-6G 142G117 WT</t>
  </si>
  <si>
    <t>Klima D9-7 x2</t>
  </si>
  <si>
    <t>Klima D9-7 x3</t>
  </si>
  <si>
    <t>Klima D9-7</t>
  </si>
  <si>
    <t>StabTraj V3.4.1</t>
  </si>
  <si>
    <t>Propu : +Klima D9</t>
  </si>
  <si>
    <t>v3.4.2</t>
  </si>
  <si>
    <t>p29-1G 56F31</t>
  </si>
  <si>
    <t xml:space="preserve"> 143G150 BS</t>
  </si>
  <si>
    <t>StabTraj V3.4.2</t>
  </si>
  <si>
    <t>Ajout propu</t>
  </si>
  <si>
    <t>Pandora (Pro24-6G BS)</t>
  </si>
  <si>
    <t>Barasinga (Pro54-5G C)</t>
  </si>
  <si>
    <t>Orignal (Pro75-3G C)</t>
  </si>
  <si>
    <t>Blastocerus (Pro98-6GXL RL)</t>
  </si>
  <si>
    <t>rose</t>
  </si>
  <si>
    <t>gris/rouge</t>
  </si>
  <si>
    <t>Conique (droite)</t>
  </si>
  <si>
    <t>Fusée mono-diamètre,</t>
  </si>
  <si>
    <t>SP02-Beta</t>
  </si>
  <si>
    <t>l'Aeroipsa</t>
  </si>
  <si>
    <t>Fusée expérimentale.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</si>
</sst>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General&quot; kg&quot;"/>
    <numFmt numFmtId="165" formatCode="0.0"/>
    <numFmt numFmtId="166" formatCode="0.000000&quot; m²&quot;"/>
    <numFmt numFmtId="167" formatCode="General&quot; m&quot;"/>
    <numFmt numFmtId="168" formatCode="General&quot; °&quot;"/>
    <numFmt numFmtId="169" formatCode="0.000"/>
    <numFmt numFmtId="170" formatCode="General&quot; s&quot;"/>
    <numFmt numFmtId="171" formatCode="General&quot; m²&quot;"/>
    <numFmt numFmtId="172" formatCode="0&quot; m/s&quot;"/>
    <numFmt numFmtId="173" formatCode="0&quot; s&quot;"/>
    <numFmt numFmtId="174" formatCode="General&quot; m/s&quot;"/>
    <numFmt numFmtId="175" formatCode="0&quot; m&quot;"/>
    <numFmt numFmtId="176" formatCode="General\ &quot;kg&quot;"/>
    <numFmt numFmtId="177" formatCode="General\ &quot;mm&quot;"/>
    <numFmt numFmtId="178" formatCode="0&quot; mm&quot;"/>
    <numFmt numFmtId="179" formatCode="General\ &quot;D&quot;"/>
    <numFmt numFmtId="180" formatCode="0.00&quot; D&quot;"/>
    <numFmt numFmtId="181" formatCode="0&quot;% L&quot;"/>
    <numFmt numFmtId="182" formatCode="General\°"/>
    <numFmt numFmtId="183" formatCode="0.#"/>
    <numFmt numFmtId="184" formatCode="0.0&quot; N.s&quot;"/>
    <numFmt numFmtId="185" formatCode="\±\ 0&quot; m&quot;"/>
    <numFmt numFmtId="186" formatCode="0.0&quot; s&quot;"/>
    <numFmt numFmtId="187" formatCode="0.0&quot; m/s&quot;"/>
    <numFmt numFmtId="188" formatCode="0&quot; m/s²&quot;"/>
    <numFmt numFmtId="189" formatCode="0.00&quot; m²&quot;"/>
    <numFmt numFmtId="190" formatCode="General\ &quot;g&quot;"/>
    <numFmt numFmtId="191" formatCode="#,##0.0\ [$ N]"/>
    <numFmt numFmtId="192" formatCode="#,##0.000\ [$KG]"/>
    <numFmt numFmtId="193" formatCode="0.0&quot; mm&quot;"/>
    <numFmt numFmtId="194" formatCode="General&quot; kg ±100%&quot;"/>
    <numFmt numFmtId="195" formatCode="0&quot; mm ±50%&quot;"/>
    <numFmt numFmtId="196" formatCode="General\ &quot;m/s²&quot;"/>
    <numFmt numFmtId="197" formatCode="&quot;Ø = &quot;0&quot; mm&quot;"/>
    <numFmt numFmtId="198" formatCode="#,##0\ [$ mm²]"/>
    <numFmt numFmtId="199" formatCode="#,#00\ [$ mm]"/>
    <numFmt numFmtId="200" formatCode="#,##0\ [$mm]"/>
    <numFmt numFmtId="201" formatCode="#,##0.00000\ [$ m²]"/>
    <numFmt numFmtId="202" formatCode="#,##0.0\ [$ kg]"/>
    <numFmt numFmtId="203" formatCode="0.00&quot; s&quot;"/>
    <numFmt numFmtId="204" formatCode="0.0&quot; N&quot;"/>
    <numFmt numFmtId="205" formatCode="0&quot; J&quot;"/>
    <numFmt numFmtId="206" formatCode="0&quot; G&quot;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16"/>
      <name val="Tahoma"/>
      <family val="2"/>
    </font>
    <font>
      <i/>
      <sz val="8"/>
      <color indexed="16"/>
      <name val="Tahoma"/>
      <family val="2"/>
    </font>
    <font>
      <strike/>
      <sz val="10"/>
      <name val="Arial"/>
      <family val="2"/>
    </font>
    <font>
      <b/>
      <i/>
      <sz val="8"/>
      <color indexed="8"/>
      <name val="Tahoma"/>
      <family val="2"/>
    </font>
    <font>
      <b/>
      <sz val="10"/>
      <color indexed="23"/>
      <name val="Arial"/>
      <family val="2"/>
    </font>
    <font>
      <b/>
      <sz val="6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Tahoma"/>
      <family val="2"/>
    </font>
    <font>
      <i/>
      <sz val="8"/>
      <color indexed="12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color indexed="53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8"/>
      <color rgb="FF808080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8"/>
      <color rgb="FF000000"/>
      <name val="Tahoma"/>
      <family val="2"/>
    </font>
    <font>
      <b/>
      <i/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7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44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CFFFF"/>
        <bgColor indexed="41"/>
      </patternFill>
    </fill>
    <fill>
      <patternFill patternType="solid">
        <fgColor rgb="FF99CCFF"/>
        <bgColor indexed="31"/>
      </patternFill>
    </fill>
    <fill>
      <patternFill patternType="solid">
        <fgColor rgb="FFCCFFFF"/>
        <bgColor indexed="42"/>
      </patternFill>
    </fill>
    <fill>
      <patternFill patternType="solid">
        <fgColor rgb="FFCCFFCC"/>
        <bgColor indexed="42"/>
      </patternFill>
    </fill>
    <fill>
      <patternFill patternType="solid">
        <fgColor rgb="FFCCFFCC"/>
        <bgColor indexed="41"/>
      </patternFill>
    </fill>
    <fill>
      <patternFill patternType="solid">
        <fgColor rgb="FFFFCC99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42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42"/>
      </patternFill>
    </fill>
  </fills>
  <borders count="103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57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18"/>
      </left>
      <right/>
      <top style="thick">
        <color indexed="18"/>
      </top>
      <bottom style="thick">
        <color indexed="18"/>
      </bottom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2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23"/>
      </top>
      <bottom style="thin">
        <color indexed="8"/>
      </bottom>
      <diagonal/>
    </border>
    <border>
      <left/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6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14" fontId="0" fillId="0" borderId="0" xfId="0" applyNumberFormat="1" applyAlignment="1">
      <alignment horizontal="left"/>
    </xf>
    <xf numFmtId="17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2" fillId="0" borderId="3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15" fillId="0" borderId="4" xfId="2" applyFont="1" applyBorder="1" applyProtection="1">
      <protection hidden="1"/>
    </xf>
    <xf numFmtId="0" fontId="1" fillId="0" borderId="5" xfId="2" applyBorder="1"/>
    <xf numFmtId="0" fontId="2" fillId="0" borderId="0" xfId="2" applyFont="1"/>
    <xf numFmtId="0" fontId="2" fillId="0" borderId="6" xfId="2" applyFont="1" applyBorder="1"/>
    <xf numFmtId="0" fontId="15" fillId="0" borderId="0" xfId="2" applyFont="1" applyProtection="1">
      <protection hidden="1"/>
    </xf>
    <xf numFmtId="0" fontId="1" fillId="0" borderId="7" xfId="2" applyBorder="1"/>
    <xf numFmtId="0" fontId="4" fillId="0" borderId="0" xfId="2" applyFont="1"/>
    <xf numFmtId="0" fontId="2" fillId="0" borderId="7" xfId="2" applyFont="1" applyBorder="1"/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16" fillId="0" borderId="0" xfId="2" applyFont="1"/>
    <xf numFmtId="0" fontId="2" fillId="0" borderId="0" xfId="2" applyFont="1" applyProtection="1">
      <protection hidden="1"/>
    </xf>
    <xf numFmtId="0" fontId="15" fillId="4" borderId="8" xfId="2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16" fillId="0" borderId="0" xfId="2" applyFont="1" applyProtection="1">
      <protection hidden="1"/>
    </xf>
    <xf numFmtId="0" fontId="15" fillId="0" borderId="0" xfId="2" applyFont="1"/>
    <xf numFmtId="14" fontId="15" fillId="0" borderId="0" xfId="2" applyNumberFormat="1" applyFont="1" applyAlignment="1" applyProtection="1">
      <alignment horizontal="center"/>
      <protection hidden="1"/>
    </xf>
    <xf numFmtId="0" fontId="2" fillId="0" borderId="9" xfId="2" applyFont="1" applyBorder="1"/>
    <xf numFmtId="0" fontId="2" fillId="0" borderId="10" xfId="2" applyFont="1" applyBorder="1" applyAlignment="1" applyProtection="1">
      <alignment horizontal="center"/>
      <protection locked="0"/>
    </xf>
    <xf numFmtId="0" fontId="2" fillId="0" borderId="10" xfId="2" applyFont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5" fillId="0" borderId="0" xfId="0" applyFont="1"/>
    <xf numFmtId="0" fontId="24" fillId="0" borderId="0" xfId="0" applyFont="1"/>
    <xf numFmtId="1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169" fontId="0" fillId="0" borderId="0" xfId="0" applyNumberFormat="1" applyAlignment="1" applyProtection="1">
      <alignment vertical="center"/>
      <protection hidden="1"/>
    </xf>
    <xf numFmtId="164" fontId="0" fillId="3" borderId="11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5" fillId="0" borderId="10" xfId="2" applyFont="1" applyBorder="1" applyProtection="1">
      <protection locked="0"/>
    </xf>
    <xf numFmtId="0" fontId="10" fillId="0" borderId="0" xfId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0" fillId="0" borderId="0" xfId="2" applyFont="1" applyAlignment="1" applyProtection="1">
      <alignment horizontal="center"/>
      <protection hidden="1"/>
    </xf>
    <xf numFmtId="0" fontId="8" fillId="0" borderId="4" xfId="2" applyFont="1" applyBorder="1"/>
    <xf numFmtId="0" fontId="8" fillId="0" borderId="0" xfId="2" applyFont="1"/>
    <xf numFmtId="0" fontId="8" fillId="0" borderId="0" xfId="2" applyFont="1" applyProtection="1">
      <protection hidden="1"/>
    </xf>
    <xf numFmtId="0" fontId="8" fillId="0" borderId="10" xfId="2" applyFont="1" applyBorder="1" applyProtection="1">
      <protection locked="0"/>
    </xf>
    <xf numFmtId="0" fontId="8" fillId="0" borderId="0" xfId="2" applyFont="1" applyAlignment="1" applyProtection="1">
      <alignment horizontal="center"/>
      <protection hidden="1"/>
    </xf>
    <xf numFmtId="1" fontId="8" fillId="0" borderId="0" xfId="2" applyNumberFormat="1" applyFont="1" applyAlignment="1" applyProtection="1">
      <alignment horizontal="center"/>
      <protection hidden="1"/>
    </xf>
    <xf numFmtId="0" fontId="29" fillId="0" borderId="0" xfId="2" applyFont="1"/>
    <xf numFmtId="0" fontId="0" fillId="0" borderId="0" xfId="0" applyProtection="1">
      <protection locked="0"/>
    </xf>
    <xf numFmtId="165" fontId="2" fillId="5" borderId="14" xfId="2" applyNumberFormat="1" applyFont="1" applyFill="1" applyBorder="1" applyAlignment="1">
      <alignment horizontal="center"/>
    </xf>
    <xf numFmtId="180" fontId="2" fillId="5" borderId="2" xfId="2" applyNumberFormat="1" applyFont="1" applyFill="1" applyBorder="1" applyAlignment="1">
      <alignment horizontal="center"/>
    </xf>
    <xf numFmtId="180" fontId="2" fillId="5" borderId="14" xfId="2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81" fontId="26" fillId="5" borderId="2" xfId="2" applyNumberFormat="1" applyFont="1" applyFill="1" applyBorder="1" applyAlignment="1">
      <alignment horizontal="center"/>
    </xf>
    <xf numFmtId="181" fontId="26" fillId="5" borderId="14" xfId="2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  <protection hidden="1"/>
    </xf>
    <xf numFmtId="0" fontId="26" fillId="5" borderId="2" xfId="2" applyFont="1" applyFill="1" applyBorder="1" applyAlignment="1" applyProtection="1">
      <alignment horizontal="center"/>
      <protection hidden="1"/>
    </xf>
    <xf numFmtId="0" fontId="30" fillId="5" borderId="2" xfId="2" applyFont="1" applyFill="1" applyBorder="1" applyAlignment="1" applyProtection="1">
      <alignment horizontal="center"/>
      <protection hidden="1"/>
    </xf>
    <xf numFmtId="0" fontId="2" fillId="6" borderId="2" xfId="2" applyFont="1" applyFill="1" applyBorder="1" applyAlignment="1">
      <alignment horizontal="center"/>
    </xf>
    <xf numFmtId="0" fontId="26" fillId="6" borderId="2" xfId="2" applyFont="1" applyFill="1" applyBorder="1" applyAlignment="1">
      <alignment horizontal="center"/>
    </xf>
    <xf numFmtId="0" fontId="31" fillId="0" borderId="0" xfId="2" applyFont="1"/>
    <xf numFmtId="0" fontId="31" fillId="6" borderId="2" xfId="2" applyFont="1" applyFill="1" applyBorder="1" applyAlignment="1" applyProtection="1">
      <alignment horizontal="center"/>
      <protection hidden="1"/>
    </xf>
    <xf numFmtId="176" fontId="31" fillId="5" borderId="2" xfId="2" applyNumberFormat="1" applyFont="1" applyFill="1" applyBorder="1" applyAlignment="1" applyProtection="1">
      <alignment horizontal="center"/>
      <protection hidden="1"/>
    </xf>
    <xf numFmtId="0" fontId="31" fillId="5" borderId="2" xfId="2" applyFont="1" applyFill="1" applyBorder="1" applyAlignment="1">
      <alignment horizontal="center"/>
    </xf>
    <xf numFmtId="177" fontId="31" fillId="5" borderId="2" xfId="2" applyNumberFormat="1" applyFont="1" applyFill="1" applyBorder="1" applyAlignment="1" applyProtection="1">
      <alignment horizontal="center"/>
      <protection hidden="1"/>
    </xf>
    <xf numFmtId="176" fontId="31" fillId="5" borderId="2" xfId="2" applyNumberFormat="1" applyFont="1" applyFill="1" applyBorder="1" applyAlignment="1">
      <alignment horizontal="center"/>
    </xf>
    <xf numFmtId="178" fontId="31" fillId="5" borderId="2" xfId="2" applyNumberFormat="1" applyFont="1" applyFill="1" applyBorder="1" applyAlignment="1" applyProtection="1">
      <alignment horizontal="center"/>
      <protection hidden="1"/>
    </xf>
    <xf numFmtId="0" fontId="31" fillId="0" borderId="0" xfId="2" applyFont="1" applyProtection="1">
      <protection hidden="1"/>
    </xf>
    <xf numFmtId="2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65" fontId="15" fillId="7" borderId="15" xfId="0" applyNumberFormat="1" applyFon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65" fontId="15" fillId="7" borderId="16" xfId="0" applyNumberFormat="1" applyFont="1" applyFill="1" applyBorder="1" applyAlignment="1">
      <alignment horizontal="center" vertical="center"/>
    </xf>
    <xf numFmtId="1" fontId="2" fillId="7" borderId="17" xfId="0" applyNumberFormat="1" applyFon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" fontId="15" fillId="7" borderId="16" xfId="0" applyNumberFormat="1" applyFont="1" applyFill="1" applyBorder="1" applyAlignment="1">
      <alignment horizontal="center" vertical="center"/>
    </xf>
    <xf numFmtId="1" fontId="15" fillId="7" borderId="17" xfId="0" applyNumberFormat="1" applyFont="1" applyFill="1" applyBorder="1" applyAlignment="1">
      <alignment horizontal="center" vertical="center"/>
    </xf>
    <xf numFmtId="165" fontId="2" fillId="7" borderId="17" xfId="0" applyNumberFormat="1" applyFont="1" applyFill="1" applyBorder="1" applyAlignment="1">
      <alignment horizontal="center" vertical="center"/>
    </xf>
    <xf numFmtId="173" fontId="2" fillId="7" borderId="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  <protection hidden="1"/>
    </xf>
    <xf numFmtId="0" fontId="2" fillId="9" borderId="15" xfId="0" applyFont="1" applyFill="1" applyBorder="1" applyAlignment="1" applyProtection="1">
      <alignment horizontal="center" vertical="center"/>
      <protection hidden="1"/>
    </xf>
    <xf numFmtId="0" fontId="5" fillId="9" borderId="15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11" borderId="15" xfId="0" applyFont="1" applyFill="1" applyBorder="1" applyAlignment="1" applyProtection="1">
      <alignment horizontal="center" vertical="center"/>
      <protection hidden="1"/>
    </xf>
    <xf numFmtId="0" fontId="2" fillId="11" borderId="18" xfId="0" applyFont="1" applyFill="1" applyBorder="1" applyAlignment="1" applyProtection="1">
      <alignment horizontal="center" vertical="center"/>
      <protection hidden="1"/>
    </xf>
    <xf numFmtId="0" fontId="13" fillId="12" borderId="2" xfId="0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74" fontId="2" fillId="13" borderId="2" xfId="0" applyNumberFormat="1" applyFont="1" applyFill="1" applyBorder="1" applyAlignment="1" applyProtection="1">
      <alignment horizontal="center" vertical="center"/>
      <protection locked="0"/>
    </xf>
    <xf numFmtId="178" fontId="14" fillId="14" borderId="2" xfId="2" applyNumberFormat="1" applyFont="1" applyFill="1" applyBorder="1" applyAlignment="1">
      <alignment horizontal="center"/>
    </xf>
    <xf numFmtId="1" fontId="28" fillId="14" borderId="2" xfId="2" applyNumberFormat="1" applyFont="1" applyFill="1" applyBorder="1" applyAlignment="1">
      <alignment horizontal="center"/>
    </xf>
    <xf numFmtId="0" fontId="2" fillId="10" borderId="2" xfId="2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 applyProtection="1">
      <alignment horizontal="center" vertical="center"/>
      <protection locked="0"/>
    </xf>
    <xf numFmtId="185" fontId="2" fillId="7" borderId="2" xfId="0" applyNumberFormat="1" applyFont="1" applyFill="1" applyBorder="1" applyAlignment="1">
      <alignment horizontal="center" vertical="center"/>
    </xf>
    <xf numFmtId="186" fontId="0" fillId="7" borderId="16" xfId="0" applyNumberFormat="1" applyFill="1" applyBorder="1" applyAlignment="1">
      <alignment horizontal="center" vertical="center"/>
    </xf>
    <xf numFmtId="186" fontId="2" fillId="7" borderId="15" xfId="0" applyNumberFormat="1" applyFont="1" applyFill="1" applyBorder="1" applyAlignment="1">
      <alignment horizontal="center" vertical="center"/>
    </xf>
    <xf numFmtId="175" fontId="15" fillId="7" borderId="16" xfId="0" applyNumberFormat="1" applyFont="1" applyFill="1" applyBorder="1" applyAlignment="1">
      <alignment horizontal="center" vertical="center"/>
    </xf>
    <xf numFmtId="175" fontId="15" fillId="7" borderId="15" xfId="0" applyNumberFormat="1" applyFont="1" applyFill="1" applyBorder="1" applyAlignment="1">
      <alignment horizontal="center" vertical="center"/>
    </xf>
    <xf numFmtId="175" fontId="2" fillId="7" borderId="16" xfId="0" applyNumberFormat="1" applyFont="1" applyFill="1" applyBorder="1" applyAlignment="1">
      <alignment horizontal="center" vertical="center"/>
    </xf>
    <xf numFmtId="175" fontId="2" fillId="7" borderId="15" xfId="0" applyNumberFormat="1" applyFont="1" applyFill="1" applyBorder="1" applyAlignment="1">
      <alignment horizontal="center" vertical="center"/>
    </xf>
    <xf numFmtId="172" fontId="2" fillId="7" borderId="15" xfId="0" applyNumberFormat="1" applyFont="1" applyFill="1" applyBorder="1" applyAlignment="1">
      <alignment horizontal="center" vertical="center"/>
    </xf>
    <xf numFmtId="172" fontId="2" fillId="7" borderId="16" xfId="0" applyNumberFormat="1" applyFont="1" applyFill="1" applyBorder="1" applyAlignment="1">
      <alignment horizontal="center" vertical="center"/>
    </xf>
    <xf numFmtId="172" fontId="15" fillId="7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8" fontId="2" fillId="3" borderId="25" xfId="0" applyNumberFormat="1" applyFont="1" applyFill="1" applyBorder="1" applyAlignment="1" applyProtection="1">
      <alignment horizontal="center" vertical="center"/>
      <protection locked="0"/>
    </xf>
    <xf numFmtId="178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0" fillId="9" borderId="27" xfId="0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89" fontId="2" fillId="7" borderId="25" xfId="0" applyNumberFormat="1" applyFont="1" applyFill="1" applyBorder="1" applyAlignment="1">
      <alignment horizontal="center" vertical="center"/>
    </xf>
    <xf numFmtId="0" fontId="32" fillId="6" borderId="2" xfId="2" applyFont="1" applyFill="1" applyBorder="1" applyAlignment="1" applyProtection="1">
      <alignment horizontal="center"/>
      <protection hidden="1"/>
    </xf>
    <xf numFmtId="178" fontId="32" fillId="5" borderId="2" xfId="2" applyNumberFormat="1" applyFont="1" applyFill="1" applyBorder="1" applyAlignment="1">
      <alignment horizontal="center"/>
    </xf>
    <xf numFmtId="177" fontId="2" fillId="4" borderId="25" xfId="2" applyNumberFormat="1" applyFont="1" applyFill="1" applyBorder="1" applyAlignment="1" applyProtection="1">
      <alignment horizontal="center"/>
      <protection locked="0"/>
    </xf>
    <xf numFmtId="0" fontId="2" fillId="10" borderId="28" xfId="2" applyFont="1" applyFill="1" applyBorder="1" applyAlignment="1" applyProtection="1">
      <alignment horizontal="center"/>
      <protection hidden="1"/>
    </xf>
    <xf numFmtId="0" fontId="2" fillId="10" borderId="29" xfId="2" applyFont="1" applyFill="1" applyBorder="1" applyAlignment="1" applyProtection="1">
      <alignment horizontal="center"/>
      <protection hidden="1"/>
    </xf>
    <xf numFmtId="0" fontId="34" fillId="10" borderId="30" xfId="2" applyFont="1" applyFill="1" applyBorder="1" applyAlignment="1" applyProtection="1">
      <alignment horizontal="center"/>
      <protection hidden="1"/>
    </xf>
    <xf numFmtId="0" fontId="0" fillId="0" borderId="10" xfId="0" applyBorder="1" applyAlignment="1">
      <alignment vertical="center"/>
    </xf>
    <xf numFmtId="0" fontId="15" fillId="0" borderId="10" xfId="2" applyFont="1" applyBorder="1"/>
    <xf numFmtId="0" fontId="15" fillId="0" borderId="31" xfId="2" applyFont="1" applyBorder="1" applyAlignment="1" applyProtection="1">
      <alignment horizontal="center"/>
      <protection hidden="1"/>
    </xf>
    <xf numFmtId="0" fontId="15" fillId="0" borderId="32" xfId="2" applyFont="1" applyBorder="1" applyAlignment="1">
      <alignment horizontal="center"/>
    </xf>
    <xf numFmtId="0" fontId="15" fillId="0" borderId="19" xfId="2" applyFont="1" applyBorder="1" applyAlignment="1" applyProtection="1">
      <alignment horizontal="center"/>
      <protection hidden="1"/>
    </xf>
    <xf numFmtId="0" fontId="15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hidden="1"/>
    </xf>
    <xf numFmtId="0" fontId="15" fillId="0" borderId="23" xfId="2" applyFont="1" applyBorder="1" applyAlignment="1">
      <alignment horizontal="center"/>
    </xf>
    <xf numFmtId="0" fontId="15" fillId="0" borderId="20" xfId="2" applyFont="1" applyBorder="1" applyAlignment="1" applyProtection="1">
      <alignment horizontal="center"/>
      <protection hidden="1"/>
    </xf>
    <xf numFmtId="0" fontId="15" fillId="0" borderId="23" xfId="2" applyFont="1" applyBorder="1" applyAlignment="1" applyProtection="1">
      <alignment horizontal="center"/>
      <protection hidden="1"/>
    </xf>
    <xf numFmtId="2" fontId="15" fillId="0" borderId="31" xfId="2" applyNumberFormat="1" applyFont="1" applyBorder="1" applyAlignment="1" applyProtection="1">
      <alignment horizontal="center"/>
      <protection hidden="1"/>
    </xf>
    <xf numFmtId="0" fontId="0" fillId="0" borderId="31" xfId="2" applyFont="1" applyBorder="1" applyAlignment="1" applyProtection="1">
      <alignment horizontal="center"/>
      <protection hidden="1"/>
    </xf>
    <xf numFmtId="0" fontId="0" fillId="0" borderId="33" xfId="2" applyFont="1" applyBorder="1" applyAlignment="1" applyProtection="1">
      <alignment horizontal="center"/>
      <protection hidden="1"/>
    </xf>
    <xf numFmtId="0" fontId="0" fillId="0" borderId="32" xfId="2" applyFont="1" applyBorder="1" applyAlignment="1" applyProtection="1">
      <alignment horizontal="center"/>
      <protection hidden="1"/>
    </xf>
    <xf numFmtId="0" fontId="0" fillId="0" borderId="19" xfId="2" applyFont="1" applyBorder="1" applyAlignment="1" applyProtection="1">
      <alignment horizontal="center"/>
      <protection hidden="1"/>
    </xf>
    <xf numFmtId="0" fontId="15" fillId="0" borderId="22" xfId="2" applyFont="1" applyBorder="1" applyAlignment="1" applyProtection="1">
      <alignment horizontal="center"/>
      <protection hidden="1"/>
    </xf>
    <xf numFmtId="1" fontId="15" fillId="0" borderId="33" xfId="2" applyNumberFormat="1" applyFont="1" applyBorder="1" applyAlignment="1" applyProtection="1">
      <alignment horizontal="center"/>
      <protection hidden="1"/>
    </xf>
    <xf numFmtId="1" fontId="8" fillId="0" borderId="32" xfId="2" applyNumberFormat="1" applyFont="1" applyBorder="1" applyAlignment="1" applyProtection="1">
      <alignment horizontal="center"/>
      <protection hidden="1"/>
    </xf>
    <xf numFmtId="1" fontId="8" fillId="0" borderId="20" xfId="2" applyNumberFormat="1" applyFont="1" applyBorder="1" applyAlignment="1" applyProtection="1">
      <alignment horizontal="center"/>
      <protection hidden="1"/>
    </xf>
    <xf numFmtId="1" fontId="15" fillId="0" borderId="22" xfId="2" applyNumberFormat="1" applyFont="1" applyBorder="1" applyAlignment="1" applyProtection="1">
      <alignment horizontal="center"/>
      <protection hidden="1"/>
    </xf>
    <xf numFmtId="1" fontId="8" fillId="0" borderId="23" xfId="2" applyNumberFormat="1" applyFont="1" applyBorder="1" applyAlignment="1" applyProtection="1">
      <alignment horizontal="center"/>
      <protection hidden="1"/>
    </xf>
    <xf numFmtId="0" fontId="15" fillId="0" borderId="33" xfId="2" applyFont="1" applyBorder="1" applyAlignment="1" applyProtection="1">
      <alignment horizontal="center"/>
      <protection hidden="1"/>
    </xf>
    <xf numFmtId="2" fontId="15" fillId="0" borderId="33" xfId="2" applyNumberFormat="1" applyFont="1" applyBorder="1" applyAlignment="1" applyProtection="1">
      <alignment horizontal="center"/>
      <protection hidden="1"/>
    </xf>
    <xf numFmtId="0" fontId="8" fillId="0" borderId="32" xfId="2" applyFont="1" applyBorder="1" applyAlignment="1" applyProtection="1">
      <alignment horizontal="center"/>
      <protection hidden="1"/>
    </xf>
    <xf numFmtId="0" fontId="8" fillId="0" borderId="20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1" fontId="15" fillId="0" borderId="32" xfId="2" applyNumberFormat="1" applyFont="1" applyBorder="1" applyAlignment="1" applyProtection="1">
      <alignment horizontal="center"/>
      <protection hidden="1"/>
    </xf>
    <xf numFmtId="1" fontId="15" fillId="0" borderId="20" xfId="2" applyNumberFormat="1" applyFont="1" applyBorder="1" applyAlignment="1" applyProtection="1">
      <alignment horizontal="center"/>
      <protection hidden="1"/>
    </xf>
    <xf numFmtId="1" fontId="15" fillId="0" borderId="23" xfId="2" applyNumberFormat="1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2" applyFont="1" applyBorder="1" applyAlignment="1" applyProtection="1">
      <alignment horizontal="center"/>
      <protection hidden="1"/>
    </xf>
    <xf numFmtId="165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5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190" fontId="2" fillId="4" borderId="2" xfId="2" applyNumberFormat="1" applyFont="1" applyFill="1" applyBorder="1" applyAlignment="1" applyProtection="1">
      <alignment horizontal="center"/>
      <protection locked="0"/>
    </xf>
    <xf numFmtId="0" fontId="0" fillId="0" borderId="0" xfId="2" applyFont="1"/>
    <xf numFmtId="0" fontId="28" fillId="6" borderId="2" xfId="2" applyFont="1" applyFill="1" applyBorder="1" applyAlignment="1" applyProtection="1">
      <alignment horizontal="center"/>
      <protection hidden="1"/>
    </xf>
    <xf numFmtId="18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2" fillId="11" borderId="18" xfId="1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33" xfId="0" applyFont="1" applyBorder="1"/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20" xfId="0" applyFont="1" applyBorder="1"/>
    <xf numFmtId="165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0" xfId="0" applyBorder="1"/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7" fillId="0" borderId="2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35" xfId="0" applyFont="1" applyBorder="1"/>
    <xf numFmtId="1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/>
    <xf numFmtId="0" fontId="28" fillId="0" borderId="13" xfId="0" applyFont="1" applyBorder="1" applyAlignment="1">
      <alignment horizontal="right" vertical="center"/>
    </xf>
    <xf numFmtId="0" fontId="28" fillId="0" borderId="13" xfId="2" applyFont="1" applyBorder="1" applyAlignment="1">
      <alignment horizontal="right"/>
    </xf>
    <xf numFmtId="2" fontId="0" fillId="16" borderId="31" xfId="0" applyNumberFormat="1" applyFill="1" applyBorder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9" fillId="0" borderId="0" xfId="0" applyNumberFormat="1" applyFont="1" applyAlignment="1">
      <alignment horizontal="left"/>
    </xf>
    <xf numFmtId="2" fontId="10" fillId="0" borderId="0" xfId="1" applyNumberFormat="1" applyAlignment="1">
      <alignment horizontal="left"/>
    </xf>
    <xf numFmtId="2" fontId="10" fillId="0" borderId="0" xfId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1" borderId="20" xfId="0" applyNumberFormat="1" applyFill="1" applyBorder="1" applyAlignment="1">
      <alignment horizontal="center"/>
    </xf>
    <xf numFmtId="2" fontId="0" fillId="21" borderId="23" xfId="0" applyNumberFormat="1" applyFill="1" applyBorder="1" applyAlignment="1">
      <alignment horizontal="center"/>
    </xf>
    <xf numFmtId="2" fontId="0" fillId="21" borderId="19" xfId="0" applyNumberFormat="1" applyFill="1" applyBorder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21" xfId="0" applyNumberForma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1" fontId="0" fillId="21" borderId="19" xfId="0" applyNumberFormat="1" applyFill="1" applyBorder="1" applyAlignment="1">
      <alignment horizontal="center"/>
    </xf>
    <xf numFmtId="2" fontId="0" fillId="21" borderId="26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0" fontId="0" fillId="21" borderId="19" xfId="0" applyFill="1" applyBorder="1"/>
    <xf numFmtId="0" fontId="0" fillId="21" borderId="0" xfId="0" applyFill="1"/>
    <xf numFmtId="0" fontId="0" fillId="21" borderId="20" xfId="0" applyFill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  <xf numFmtId="1" fontId="0" fillId="21" borderId="0" xfId="0" applyNumberFormat="1" applyFill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22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1" borderId="32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2" fontId="0" fillId="21" borderId="31" xfId="0" applyNumberForma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2" borderId="44" xfId="0" applyFill="1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8" fillId="22" borderId="36" xfId="0" applyFont="1" applyFill="1" applyBorder="1" applyAlignment="1">
      <alignment horizontal="center"/>
    </xf>
    <xf numFmtId="0" fontId="15" fillId="22" borderId="37" xfId="0" applyFont="1" applyFill="1" applyBorder="1" applyAlignment="1">
      <alignment horizontal="center"/>
    </xf>
    <xf numFmtId="2" fontId="0" fillId="23" borderId="19" xfId="0" applyNumberFormat="1" applyFill="1" applyBorder="1" applyAlignment="1">
      <alignment horizontal="center"/>
    </xf>
    <xf numFmtId="2" fontId="0" fillId="23" borderId="21" xfId="0" applyNumberForma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2" fontId="0" fillId="24" borderId="31" xfId="0" applyNumberFormat="1" applyFill="1" applyBorder="1" applyAlignment="1">
      <alignment horizontal="center"/>
    </xf>
    <xf numFmtId="2" fontId="0" fillId="24" borderId="33" xfId="0" applyNumberForma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184" fontId="0" fillId="25" borderId="11" xfId="0" applyNumberFormat="1" applyFill="1" applyBorder="1" applyAlignment="1">
      <alignment horizontal="center"/>
    </xf>
    <xf numFmtId="173" fontId="0" fillId="25" borderId="11" xfId="0" applyNumberForma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178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2" fillId="26" borderId="52" xfId="0" applyFont="1" applyFill="1" applyBorder="1" applyAlignment="1">
      <alignment horizontal="center"/>
    </xf>
    <xf numFmtId="0" fontId="0" fillId="26" borderId="54" xfId="0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0" fillId="25" borderId="59" xfId="0" applyFill="1" applyBorder="1" applyAlignment="1">
      <alignment horizontal="center"/>
    </xf>
    <xf numFmtId="0" fontId="0" fillId="25" borderId="6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0" xfId="0" applyFill="1" applyAlignment="1">
      <alignment horizontal="center"/>
    </xf>
    <xf numFmtId="183" fontId="0" fillId="25" borderId="58" xfId="0" applyNumberFormat="1" applyFill="1" applyBorder="1" applyAlignment="1">
      <alignment horizontal="center"/>
    </xf>
    <xf numFmtId="183" fontId="0" fillId="25" borderId="59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9" fontId="0" fillId="3" borderId="56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183" fontId="0" fillId="26" borderId="51" xfId="0" applyNumberFormat="1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62" xfId="0" applyFill="1" applyBorder="1" applyAlignment="1">
      <alignment horizontal="center"/>
    </xf>
    <xf numFmtId="183" fontId="0" fillId="25" borderId="60" xfId="0" applyNumberForma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44" fillId="0" borderId="0" xfId="2" applyFont="1"/>
    <xf numFmtId="0" fontId="44" fillId="27" borderId="2" xfId="2" applyFont="1" applyFill="1" applyBorder="1" applyAlignment="1" applyProtection="1">
      <alignment horizontal="center"/>
      <protection hidden="1"/>
    </xf>
    <xf numFmtId="177" fontId="45" fillId="5" borderId="2" xfId="2" applyNumberFormat="1" applyFont="1" applyFill="1" applyBorder="1" applyAlignment="1" applyProtection="1">
      <alignment horizontal="center"/>
      <protection hidden="1"/>
    </xf>
    <xf numFmtId="0" fontId="43" fillId="0" borderId="0" xfId="2" applyFont="1"/>
    <xf numFmtId="0" fontId="46" fillId="0" borderId="10" xfId="2" applyFont="1" applyBorder="1" applyAlignment="1">
      <alignment horizontal="right"/>
    </xf>
    <xf numFmtId="0" fontId="44" fillId="0" borderId="10" xfId="2" applyFont="1" applyBorder="1"/>
    <xf numFmtId="0" fontId="47" fillId="0" borderId="10" xfId="2" applyFont="1" applyBorder="1" applyAlignment="1">
      <alignment horizontal="left"/>
    </xf>
    <xf numFmtId="0" fontId="46" fillId="0" borderId="10" xfId="2" applyFont="1" applyBorder="1"/>
    <xf numFmtId="0" fontId="46" fillId="0" borderId="7" xfId="0" applyFont="1" applyBorder="1" applyAlignment="1">
      <alignment horizontal="right" vertical="center"/>
    </xf>
    <xf numFmtId="0" fontId="47" fillId="0" borderId="7" xfId="0" applyFon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93" fontId="0" fillId="3" borderId="11" xfId="0" applyNumberFormat="1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186" fontId="0" fillId="25" borderId="11" xfId="0" applyNumberFormat="1" applyFill="1" applyBorder="1" applyAlignment="1">
      <alignment horizontal="center"/>
    </xf>
    <xf numFmtId="176" fontId="31" fillId="5" borderId="24" xfId="2" applyNumberFormat="1" applyFont="1" applyFill="1" applyBorder="1" applyAlignment="1" applyProtection="1">
      <alignment horizontal="center"/>
      <protection hidden="1"/>
    </xf>
    <xf numFmtId="176" fontId="31" fillId="5" borderId="26" xfId="2" applyNumberFormat="1" applyFont="1" applyFill="1" applyBorder="1" applyAlignment="1" applyProtection="1">
      <alignment horizontal="center"/>
      <protection hidden="1"/>
    </xf>
    <xf numFmtId="176" fontId="31" fillId="5" borderId="25" xfId="2" applyNumberFormat="1" applyFont="1" applyFill="1" applyBorder="1" applyAlignment="1" applyProtection="1">
      <alignment horizontal="center"/>
      <protection hidden="1"/>
    </xf>
    <xf numFmtId="0" fontId="31" fillId="5" borderId="63" xfId="2" applyFont="1" applyFill="1" applyBorder="1" applyAlignment="1">
      <alignment horizontal="center"/>
    </xf>
    <xf numFmtId="0" fontId="31" fillId="5" borderId="20" xfId="2" applyFont="1" applyFill="1" applyBorder="1" applyAlignment="1">
      <alignment horizontal="center"/>
    </xf>
    <xf numFmtId="0" fontId="31" fillId="5" borderId="23" xfId="2" applyFont="1" applyFill="1" applyBorder="1" applyAlignment="1">
      <alignment horizontal="center"/>
    </xf>
    <xf numFmtId="176" fontId="31" fillId="5" borderId="63" xfId="2" applyNumberFormat="1" applyFont="1" applyFill="1" applyBorder="1" applyAlignment="1">
      <alignment horizontal="center"/>
    </xf>
    <xf numFmtId="196" fontId="31" fillId="5" borderId="63" xfId="2" applyNumberFormat="1" applyFont="1" applyFill="1" applyBorder="1" applyAlignment="1">
      <alignment horizontal="center"/>
    </xf>
    <xf numFmtId="196" fontId="31" fillId="5" borderId="20" xfId="2" applyNumberFormat="1" applyFont="1" applyFill="1" applyBorder="1" applyAlignment="1">
      <alignment horizontal="center"/>
    </xf>
    <xf numFmtId="196" fontId="31" fillId="5" borderId="23" xfId="2" applyNumberFormat="1" applyFont="1" applyFill="1" applyBorder="1" applyAlignment="1">
      <alignment horizontal="center"/>
    </xf>
    <xf numFmtId="174" fontId="31" fillId="5" borderId="63" xfId="2" applyNumberFormat="1" applyFont="1" applyFill="1" applyBorder="1" applyAlignment="1">
      <alignment horizontal="center"/>
    </xf>
    <xf numFmtId="174" fontId="31" fillId="5" borderId="20" xfId="2" applyNumberFormat="1" applyFont="1" applyFill="1" applyBorder="1" applyAlignment="1">
      <alignment horizontal="center"/>
    </xf>
    <xf numFmtId="174" fontId="31" fillId="5" borderId="23" xfId="2" applyNumberFormat="1" applyFont="1" applyFill="1" applyBorder="1" applyAlignment="1">
      <alignment horizontal="center"/>
    </xf>
    <xf numFmtId="167" fontId="31" fillId="5" borderId="63" xfId="2" applyNumberFormat="1" applyFont="1" applyFill="1" applyBorder="1" applyAlignment="1">
      <alignment horizontal="center"/>
    </xf>
    <xf numFmtId="167" fontId="31" fillId="5" borderId="20" xfId="2" applyNumberFormat="1" applyFont="1" applyFill="1" applyBorder="1" applyAlignment="1">
      <alignment horizontal="center"/>
    </xf>
    <xf numFmtId="167" fontId="31" fillId="5" borderId="23" xfId="2" applyNumberFormat="1" applyFont="1" applyFill="1" applyBorder="1" applyAlignment="1">
      <alignment horizontal="center"/>
    </xf>
    <xf numFmtId="170" fontId="31" fillId="5" borderId="63" xfId="2" applyNumberFormat="1" applyFont="1" applyFill="1" applyBorder="1" applyAlignment="1">
      <alignment horizontal="center"/>
    </xf>
    <xf numFmtId="170" fontId="31" fillId="5" borderId="20" xfId="2" applyNumberFormat="1" applyFont="1" applyFill="1" applyBorder="1" applyAlignment="1">
      <alignment horizontal="center"/>
    </xf>
    <xf numFmtId="170" fontId="31" fillId="5" borderId="23" xfId="2" applyNumberFormat="1" applyFont="1" applyFill="1" applyBorder="1" applyAlignment="1">
      <alignment horizont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197" fontId="31" fillId="5" borderId="24" xfId="2" applyNumberFormat="1" applyFont="1" applyFill="1" applyBorder="1" applyAlignment="1">
      <alignment horizontal="center"/>
    </xf>
    <xf numFmtId="197" fontId="31" fillId="5" borderId="26" xfId="2" applyNumberFormat="1" applyFont="1" applyFill="1" applyBorder="1" applyAlignment="1">
      <alignment horizontal="center"/>
    </xf>
    <xf numFmtId="197" fontId="31" fillId="5" borderId="25" xfId="2" applyNumberFormat="1" applyFont="1" applyFill="1" applyBorder="1" applyAlignment="1">
      <alignment horizontal="center"/>
    </xf>
    <xf numFmtId="0" fontId="43" fillId="0" borderId="0" xfId="2" applyFont="1" applyAlignment="1" applyProtection="1">
      <alignment horizontal="right"/>
      <protection hidden="1"/>
    </xf>
    <xf numFmtId="0" fontId="2" fillId="0" borderId="31" xfId="0" applyFont="1" applyBorder="1"/>
    <xf numFmtId="0" fontId="2" fillId="0" borderId="32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4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0" fontId="2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201" fontId="15" fillId="0" borderId="0" xfId="0" applyNumberFormat="1" applyFont="1"/>
    <xf numFmtId="191" fontId="0" fillId="0" borderId="0" xfId="0" applyNumberFormat="1"/>
    <xf numFmtId="192" fontId="0" fillId="0" borderId="0" xfId="0" applyNumberFormat="1"/>
    <xf numFmtId="0" fontId="41" fillId="0" borderId="0" xfId="0" applyFont="1"/>
    <xf numFmtId="192" fontId="2" fillId="30" borderId="32" xfId="0" applyNumberFormat="1" applyFont="1" applyFill="1" applyBorder="1" applyProtection="1">
      <protection locked="0"/>
    </xf>
    <xf numFmtId="198" fontId="2" fillId="0" borderId="23" xfId="0" applyNumberFormat="1" applyFont="1" applyBorder="1"/>
    <xf numFmtId="0" fontId="40" fillId="0" borderId="0" xfId="0" applyFont="1"/>
    <xf numFmtId="3" fontId="2" fillId="30" borderId="32" xfId="0" applyNumberFormat="1" applyFont="1" applyFill="1" applyBorder="1" applyAlignment="1">
      <alignment horizontal="center"/>
    </xf>
    <xf numFmtId="191" fontId="2" fillId="0" borderId="33" xfId="0" applyNumberFormat="1" applyFont="1" applyBorder="1" applyAlignment="1">
      <alignment horizontal="center"/>
    </xf>
    <xf numFmtId="192" fontId="2" fillId="0" borderId="32" xfId="0" applyNumberFormat="1" applyFont="1" applyBorder="1" applyAlignment="1">
      <alignment horizontal="center"/>
    </xf>
    <xf numFmtId="191" fontId="2" fillId="0" borderId="22" xfId="0" applyNumberFormat="1" applyFont="1" applyBorder="1" applyAlignment="1">
      <alignment horizontal="center"/>
    </xf>
    <xf numFmtId="192" fontId="2" fillId="0" borderId="23" xfId="0" applyNumberFormat="1" applyFont="1" applyBorder="1" applyAlignment="1">
      <alignment horizontal="center"/>
    </xf>
    <xf numFmtId="192" fontId="2" fillId="30" borderId="32" xfId="0" applyNumberFormat="1" applyFont="1" applyFill="1" applyBorder="1" applyAlignment="1" applyProtection="1">
      <alignment horizontal="center"/>
      <protection locked="0"/>
    </xf>
    <xf numFmtId="202" fontId="2" fillId="0" borderId="23" xfId="0" applyNumberFormat="1" applyFont="1" applyBorder="1" applyAlignment="1">
      <alignment horizontal="center"/>
    </xf>
    <xf numFmtId="201" fontId="2" fillId="0" borderId="23" xfId="0" applyNumberFormat="1" applyFont="1" applyBorder="1" applyAlignment="1">
      <alignment horizontal="center"/>
    </xf>
    <xf numFmtId="199" fontId="2" fillId="0" borderId="33" xfId="0" applyNumberFormat="1" applyFont="1" applyBorder="1" applyAlignment="1">
      <alignment horizontal="center"/>
    </xf>
    <xf numFmtId="200" fontId="2" fillId="0" borderId="32" xfId="0" applyNumberFormat="1" applyFont="1" applyBorder="1" applyAlignment="1">
      <alignment horizontal="center"/>
    </xf>
    <xf numFmtId="191" fontId="2" fillId="0" borderId="0" xfId="0" applyNumberFormat="1" applyFont="1" applyAlignment="1">
      <alignment horizontal="center"/>
    </xf>
    <xf numFmtId="192" fontId="2" fillId="0" borderId="20" xfId="0" applyNumberFormat="1" applyFont="1" applyBorder="1" applyAlignment="1">
      <alignment horizontal="center"/>
    </xf>
    <xf numFmtId="0" fontId="15" fillId="0" borderId="10" xfId="0" applyFont="1" applyBorder="1"/>
    <xf numFmtId="0" fontId="0" fillId="29" borderId="20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186" fontId="0" fillId="24" borderId="11" xfId="0" applyNumberFormat="1" applyFill="1" applyBorder="1" applyAlignment="1">
      <alignment horizontal="center"/>
    </xf>
    <xf numFmtId="203" fontId="0" fillId="24" borderId="11" xfId="0" applyNumberFormat="1" applyFill="1" applyBorder="1" applyAlignment="1">
      <alignment horizontal="center"/>
    </xf>
    <xf numFmtId="0" fontId="2" fillId="11" borderId="66" xfId="0" applyFont="1" applyFill="1" applyBorder="1" applyAlignment="1" applyProtection="1">
      <alignment horizontal="center" vertical="center"/>
      <protection hidden="1"/>
    </xf>
    <xf numFmtId="164" fontId="2" fillId="17" borderId="24" xfId="0" applyNumberFormat="1" applyFont="1" applyFill="1" applyBorder="1" applyAlignment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  <protection hidden="1"/>
    </xf>
    <xf numFmtId="17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28" borderId="2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9" borderId="25" xfId="0" applyFill="1" applyBorder="1" applyAlignment="1">
      <alignment horizontal="center"/>
    </xf>
    <xf numFmtId="0" fontId="1" fillId="0" borderId="0" xfId="2" applyProtection="1">
      <protection locked="0"/>
    </xf>
    <xf numFmtId="0" fontId="1" fillId="0" borderId="0" xfId="2"/>
    <xf numFmtId="0" fontId="34" fillId="0" borderId="0" xfId="2" applyFont="1"/>
    <xf numFmtId="186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30" borderId="2" xfId="0" applyFill="1" applyBorder="1" applyAlignment="1">
      <alignment vertical="center"/>
    </xf>
    <xf numFmtId="164" fontId="2" fillId="18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Alignment="1" applyProtection="1">
      <alignment horizontal="left"/>
      <protection hidden="1"/>
    </xf>
    <xf numFmtId="166" fontId="48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186" fontId="2" fillId="0" borderId="0" xfId="0" applyNumberFormat="1" applyFont="1" applyAlignment="1">
      <alignment horizontal="center" vertical="center"/>
    </xf>
    <xf numFmtId="204" fontId="2" fillId="32" borderId="2" xfId="0" applyNumberFormat="1" applyFont="1" applyFill="1" applyBorder="1" applyAlignment="1">
      <alignment horizontal="center" vertical="center"/>
    </xf>
    <xf numFmtId="175" fontId="0" fillId="7" borderId="46" xfId="0" applyNumberFormat="1" applyFill="1" applyBorder="1" applyAlignment="1">
      <alignment horizontal="center" vertical="center"/>
    </xf>
    <xf numFmtId="175" fontId="2" fillId="7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0" fontId="2" fillId="9" borderId="46" xfId="0" applyFont="1" applyFill="1" applyBorder="1" applyAlignment="1" applyProtection="1">
      <alignment horizontal="center" vertical="center"/>
      <protection hidden="1"/>
    </xf>
    <xf numFmtId="0" fontId="5" fillId="9" borderId="46" xfId="0" applyFont="1" applyFill="1" applyBorder="1" applyAlignment="1" applyProtection="1">
      <alignment horizontal="center" vertical="center"/>
      <protection hidden="1"/>
    </xf>
    <xf numFmtId="2" fontId="0" fillId="7" borderId="68" xfId="0" applyNumberFormat="1" applyFill="1" applyBorder="1" applyAlignment="1">
      <alignment horizontal="center" vertical="center"/>
    </xf>
    <xf numFmtId="187" fontId="2" fillId="7" borderId="68" xfId="0" applyNumberFormat="1" applyFon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188" fontId="2" fillId="7" borderId="70" xfId="0" applyNumberFormat="1" applyFont="1" applyFill="1" applyBorder="1" applyAlignment="1">
      <alignment horizontal="center" vertical="center"/>
    </xf>
    <xf numFmtId="165" fontId="0" fillId="7" borderId="71" xfId="0" applyNumberFormat="1" applyFill="1" applyBorder="1" applyAlignment="1">
      <alignment horizontal="center" vertical="center"/>
    </xf>
    <xf numFmtId="165" fontId="0" fillId="7" borderId="70" xfId="0" applyNumberFormat="1" applyFill="1" applyBorder="1" applyAlignment="1">
      <alignment horizontal="center" vertical="center"/>
    </xf>
    <xf numFmtId="186" fontId="0" fillId="7" borderId="43" xfId="0" applyNumberFormat="1" applyFill="1" applyBorder="1" applyAlignment="1">
      <alignment horizontal="center" vertical="center"/>
    </xf>
    <xf numFmtId="165" fontId="0" fillId="7" borderId="72" xfId="0" applyNumberFormat="1" applyFill="1" applyBorder="1" applyAlignment="1">
      <alignment horizontal="center" vertical="center"/>
    </xf>
    <xf numFmtId="166" fontId="2" fillId="27" borderId="14" xfId="0" applyNumberFormat="1" applyFont="1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187" fontId="0" fillId="7" borderId="73" xfId="0" applyNumberFormat="1" applyFill="1" applyBorder="1" applyAlignment="1">
      <alignment horizontal="center" vertical="center"/>
    </xf>
    <xf numFmtId="205" fontId="0" fillId="32" borderId="2" xfId="0" applyNumberFormat="1" applyFill="1" applyBorder="1" applyAlignment="1">
      <alignment horizontal="center" vertical="center"/>
    </xf>
    <xf numFmtId="206" fontId="15" fillId="0" borderId="0" xfId="2" applyNumberFormat="1" applyFont="1" applyProtection="1">
      <protection hidden="1"/>
    </xf>
    <xf numFmtId="175" fontId="2" fillId="0" borderId="0" xfId="2" applyNumberFormat="1" applyFont="1" applyProtection="1">
      <protection locked="0"/>
    </xf>
    <xf numFmtId="186" fontId="2" fillId="30" borderId="2" xfId="0" applyNumberFormat="1" applyFont="1" applyFill="1" applyBorder="1" applyAlignment="1">
      <alignment horizontal="center" vertical="center"/>
    </xf>
    <xf numFmtId="177" fontId="2" fillId="0" borderId="0" xfId="2" applyNumberFormat="1" applyFont="1"/>
    <xf numFmtId="170" fontId="2" fillId="33" borderId="25" xfId="0" applyNumberFormat="1" applyFont="1" applyFill="1" applyBorder="1" applyAlignment="1" applyProtection="1">
      <alignment horizontal="center" vertical="center"/>
      <protection locked="0"/>
    </xf>
    <xf numFmtId="165" fontId="2" fillId="5" borderId="34" xfId="2" applyNumberFormat="1" applyFont="1" applyFill="1" applyBorder="1" applyAlignment="1">
      <alignment horizontal="center"/>
    </xf>
    <xf numFmtId="178" fontId="14" fillId="5" borderId="34" xfId="2" applyNumberFormat="1" applyFont="1" applyFill="1" applyBorder="1"/>
    <xf numFmtId="179" fontId="30" fillId="5" borderId="24" xfId="2" applyNumberFormat="1" applyFont="1" applyFill="1" applyBorder="1" applyAlignment="1" applyProtection="1">
      <alignment horizontal="center" vertical="center"/>
      <protection hidden="1"/>
    </xf>
    <xf numFmtId="0" fontId="30" fillId="5" borderId="24" xfId="2" applyFont="1" applyFill="1" applyBorder="1" applyAlignment="1" applyProtection="1">
      <alignment horizontal="center" vertical="center"/>
      <protection hidden="1"/>
    </xf>
    <xf numFmtId="2" fontId="15" fillId="0" borderId="19" xfId="2" applyNumberFormat="1" applyFont="1" applyBorder="1" applyAlignment="1" applyProtection="1">
      <alignment horizontal="center"/>
      <protection hidden="1"/>
    </xf>
    <xf numFmtId="2" fontId="15" fillId="0" borderId="20" xfId="2" applyNumberFormat="1" applyFont="1" applyBorder="1" applyAlignment="1" applyProtection="1">
      <alignment horizontal="center"/>
      <protection hidden="1"/>
    </xf>
    <xf numFmtId="2" fontId="15" fillId="0" borderId="0" xfId="2" applyNumberFormat="1" applyFont="1" applyAlignment="1" applyProtection="1">
      <alignment horizontal="center"/>
      <protection hidden="1"/>
    </xf>
    <xf numFmtId="0" fontId="2" fillId="6" borderId="24" xfId="2" applyFont="1" applyFill="1" applyBorder="1" applyAlignment="1">
      <alignment vertical="center"/>
    </xf>
    <xf numFmtId="0" fontId="2" fillId="6" borderId="24" xfId="2" applyFont="1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" applyFont="1" applyFill="1" applyBorder="1" applyAlignment="1" applyProtection="1">
      <alignment horizontal="left"/>
      <protection hidden="1"/>
    </xf>
    <xf numFmtId="0" fontId="2" fillId="10" borderId="26" xfId="2" applyFont="1" applyFill="1" applyBorder="1" applyAlignment="1" applyProtection="1">
      <alignment horizontal="left"/>
      <protection hidden="1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vertical="top"/>
    </xf>
    <xf numFmtId="0" fontId="43" fillId="0" borderId="0" xfId="2" applyFont="1" applyAlignment="1">
      <alignment horizontal="center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75" xfId="2" applyFont="1" applyFill="1" applyBorder="1" applyAlignment="1" applyProtection="1">
      <alignment horizontal="center"/>
      <protection hidden="1"/>
    </xf>
    <xf numFmtId="0" fontId="2" fillId="10" borderId="76" xfId="2" applyFont="1" applyFill="1" applyBorder="1" applyAlignment="1" applyProtection="1">
      <alignment horizontal="center"/>
      <protection hidden="1"/>
    </xf>
    <xf numFmtId="0" fontId="43" fillId="4" borderId="25" xfId="2" applyFont="1" applyFill="1" applyBorder="1" applyAlignment="1" applyProtection="1">
      <alignment horizontal="center"/>
      <protection locked="0"/>
    </xf>
    <xf numFmtId="0" fontId="43" fillId="4" borderId="77" xfId="2" applyFont="1" applyFill="1" applyBorder="1" applyAlignment="1" applyProtection="1">
      <alignment horizontal="center"/>
      <protection locked="0"/>
    </xf>
    <xf numFmtId="165" fontId="31" fillId="5" borderId="2" xfId="2" applyNumberFormat="1" applyFont="1" applyFill="1" applyBorder="1" applyAlignment="1">
      <alignment horizontal="center"/>
    </xf>
    <xf numFmtId="178" fontId="31" fillId="5" borderId="34" xfId="2" applyNumberFormat="1" applyFont="1" applyFill="1" applyBorder="1" applyAlignment="1">
      <alignment horizontal="center"/>
    </xf>
    <xf numFmtId="178" fontId="31" fillId="5" borderId="14" xfId="2" applyNumberFormat="1" applyFont="1" applyFill="1" applyBorder="1" applyAlignment="1">
      <alignment horizontal="center"/>
    </xf>
    <xf numFmtId="165" fontId="31" fillId="5" borderId="34" xfId="2" applyNumberFormat="1" applyFont="1" applyFill="1" applyBorder="1" applyAlignment="1">
      <alignment horizontal="center"/>
    </xf>
    <xf numFmtId="165" fontId="31" fillId="5" borderId="14" xfId="2" applyNumberFormat="1" applyFont="1" applyFill="1" applyBorder="1" applyAlignment="1">
      <alignment horizontal="center"/>
    </xf>
    <xf numFmtId="0" fontId="2" fillId="10" borderId="78" xfId="2" applyFont="1" applyFill="1" applyBorder="1" applyAlignment="1" applyProtection="1">
      <alignment horizontal="center"/>
      <protection hidden="1"/>
    </xf>
    <xf numFmtId="0" fontId="2" fillId="10" borderId="79" xfId="2" applyFont="1" applyFill="1" applyBorder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177" fontId="2" fillId="4" borderId="34" xfId="2" applyNumberFormat="1" applyFont="1" applyFill="1" applyBorder="1" applyAlignment="1" applyProtection="1">
      <alignment horizontal="center"/>
      <protection locked="0"/>
    </xf>
    <xf numFmtId="177" fontId="2" fillId="4" borderId="14" xfId="2" applyNumberFormat="1" applyFont="1" applyFill="1" applyBorder="1" applyAlignment="1" applyProtection="1">
      <alignment horizontal="center"/>
      <protection locked="0"/>
    </xf>
    <xf numFmtId="0" fontId="33" fillId="4" borderId="25" xfId="2" applyFont="1" applyFill="1" applyBorder="1" applyAlignment="1" applyProtection="1">
      <alignment horizontal="center" vertical="center"/>
      <protection locked="0"/>
    </xf>
    <xf numFmtId="0" fontId="33" fillId="4" borderId="2" xfId="2" applyFont="1" applyFill="1" applyBorder="1" applyAlignment="1" applyProtection="1">
      <alignment horizontal="center" vertical="center"/>
      <protection locked="0"/>
    </xf>
    <xf numFmtId="0" fontId="3" fillId="19" borderId="0" xfId="2" applyFont="1" applyFill="1" applyAlignment="1">
      <alignment horizontal="center"/>
    </xf>
    <xf numFmtId="0" fontId="2" fillId="0" borderId="0" xfId="2" applyFont="1" applyAlignment="1" applyProtection="1">
      <alignment horizontal="center"/>
      <protection hidden="1"/>
    </xf>
    <xf numFmtId="178" fontId="31" fillId="5" borderId="2" xfId="2" applyNumberFormat="1" applyFont="1" applyFill="1" applyBorder="1" applyAlignment="1">
      <alignment horizontal="center"/>
    </xf>
    <xf numFmtId="0" fontId="2" fillId="10" borderId="80" xfId="2" applyFont="1" applyFill="1" applyBorder="1" applyAlignment="1" applyProtection="1">
      <alignment horizontal="center"/>
      <protection hidden="1"/>
    </xf>
    <xf numFmtId="0" fontId="2" fillId="10" borderId="81" xfId="2" applyFont="1" applyFill="1" applyBorder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82" xfId="2" applyFont="1" applyFill="1" applyBorder="1" applyAlignment="1" applyProtection="1">
      <alignment horizontal="center"/>
      <protection locked="0"/>
    </xf>
    <xf numFmtId="0" fontId="2" fillId="10" borderId="34" xfId="2" applyFont="1" applyFill="1" applyBorder="1" applyAlignment="1" applyProtection="1">
      <alignment horizontal="center"/>
      <protection hidden="1"/>
    </xf>
    <xf numFmtId="0" fontId="2" fillId="10" borderId="14" xfId="2" applyFont="1" applyFill="1" applyBorder="1" applyAlignment="1" applyProtection="1">
      <alignment horizontal="center"/>
      <protection hidden="1"/>
    </xf>
    <xf numFmtId="176" fontId="31" fillId="5" borderId="34" xfId="2" applyNumberFormat="1" applyFont="1" applyFill="1" applyBorder="1" applyAlignment="1">
      <alignment horizontal="center"/>
    </xf>
    <xf numFmtId="176" fontId="31" fillId="5" borderId="14" xfId="2" applyNumberFormat="1" applyFont="1" applyFill="1" applyBorder="1" applyAlignment="1">
      <alignment horizontal="center"/>
    </xf>
    <xf numFmtId="178" fontId="32" fillId="5" borderId="34" xfId="2" applyNumberFormat="1" applyFont="1" applyFill="1" applyBorder="1" applyAlignment="1">
      <alignment horizontal="center"/>
    </xf>
    <xf numFmtId="178" fontId="32" fillId="5" borderId="14" xfId="2" applyNumberFormat="1" applyFont="1" applyFill="1" applyBorder="1" applyAlignment="1">
      <alignment horizontal="center"/>
    </xf>
    <xf numFmtId="0" fontId="31" fillId="6" borderId="34" xfId="2" applyFont="1" applyFill="1" applyBorder="1" applyAlignment="1">
      <alignment horizontal="center"/>
    </xf>
    <xf numFmtId="0" fontId="31" fillId="6" borderId="14" xfId="2" applyFont="1" applyFill="1" applyBorder="1" applyAlignment="1">
      <alignment horizontal="center"/>
    </xf>
    <xf numFmtId="20" fontId="2" fillId="4" borderId="34" xfId="2" applyNumberFormat="1" applyFont="1" applyFill="1" applyBorder="1" applyAlignment="1" applyProtection="1">
      <alignment horizontal="center"/>
      <protection locked="0"/>
    </xf>
    <xf numFmtId="20" fontId="2" fillId="4" borderId="82" xfId="2" applyNumberFormat="1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43" fillId="0" borderId="83" xfId="2" applyFont="1" applyBorder="1" applyAlignment="1">
      <alignment horizontal="center"/>
    </xf>
    <xf numFmtId="0" fontId="2" fillId="4" borderId="21" xfId="2" applyFont="1" applyFill="1" applyBorder="1" applyAlignment="1" applyProtection="1">
      <alignment horizontal="center"/>
      <protection locked="0"/>
    </xf>
    <xf numFmtId="0" fontId="2" fillId="4" borderId="84" xfId="2" applyFont="1" applyFill="1" applyBorder="1" applyAlignment="1" applyProtection="1">
      <alignment horizontal="center"/>
      <protection locked="0"/>
    </xf>
    <xf numFmtId="0" fontId="17" fillId="5" borderId="31" xfId="2" applyFont="1" applyFill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23" xfId="2" applyFont="1" applyFill="1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/>
      <protection locked="0"/>
    </xf>
    <xf numFmtId="0" fontId="2" fillId="4" borderId="8" xfId="2" applyFont="1" applyFill="1" applyBorder="1" applyAlignment="1" applyProtection="1">
      <alignment horizontal="center"/>
      <protection locked="0"/>
    </xf>
    <xf numFmtId="177" fontId="31" fillId="5" borderId="34" xfId="2" applyNumberFormat="1" applyFont="1" applyFill="1" applyBorder="1" applyAlignment="1" applyProtection="1">
      <alignment horizontal="center"/>
      <protection hidden="1"/>
    </xf>
    <xf numFmtId="177" fontId="31" fillId="5" borderId="14" xfId="2" applyNumberFormat="1" applyFont="1" applyFill="1" applyBorder="1" applyAlignment="1" applyProtection="1">
      <alignment horizontal="center"/>
      <protection hidden="1"/>
    </xf>
    <xf numFmtId="176" fontId="31" fillId="5" borderId="34" xfId="2" applyNumberFormat="1" applyFont="1" applyFill="1" applyBorder="1" applyAlignment="1" applyProtection="1">
      <alignment horizontal="center"/>
      <protection hidden="1"/>
    </xf>
    <xf numFmtId="176" fontId="31" fillId="5" borderId="14" xfId="2" applyNumberFormat="1" applyFont="1" applyFill="1" applyBorder="1" applyAlignment="1" applyProtection="1">
      <alignment horizontal="center"/>
      <protection hidden="1"/>
    </xf>
    <xf numFmtId="165" fontId="2" fillId="5" borderId="34" xfId="2" applyNumberFormat="1" applyFont="1" applyFill="1" applyBorder="1" applyAlignment="1">
      <alignment horizontal="center"/>
    </xf>
    <xf numFmtId="165" fontId="2" fillId="5" borderId="14" xfId="2" applyNumberFormat="1" applyFont="1" applyFill="1" applyBorder="1" applyAlignment="1">
      <alignment horizontal="center"/>
    </xf>
    <xf numFmtId="0" fontId="15" fillId="0" borderId="0" xfId="2" applyFont="1" applyAlignment="1" applyProtection="1">
      <alignment horizontal="center"/>
      <protection hidden="1"/>
    </xf>
    <xf numFmtId="0" fontId="28" fillId="6" borderId="34" xfId="2" applyFont="1" applyFill="1" applyBorder="1" applyAlignment="1" applyProtection="1">
      <alignment horizontal="center"/>
      <protection hidden="1"/>
    </xf>
    <xf numFmtId="0" fontId="28" fillId="6" borderId="14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31" fillId="6" borderId="2" xfId="2" applyFont="1" applyFill="1" applyBorder="1" applyAlignment="1">
      <alignment horizontal="center"/>
    </xf>
    <xf numFmtId="0" fontId="39" fillId="8" borderId="85" xfId="0" applyFont="1" applyFill="1" applyBorder="1" applyAlignment="1" applyProtection="1">
      <alignment horizontal="center" vertical="center"/>
      <protection hidden="1"/>
    </xf>
    <xf numFmtId="0" fontId="39" fillId="8" borderId="86" xfId="0" applyFont="1" applyFill="1" applyBorder="1" applyAlignment="1" applyProtection="1">
      <alignment horizontal="center" vertical="center"/>
      <protection hidden="1"/>
    </xf>
    <xf numFmtId="0" fontId="2" fillId="8" borderId="87" xfId="0" applyFont="1" applyFill="1" applyBorder="1" applyAlignment="1" applyProtection="1">
      <alignment horizontal="center" vertical="center"/>
      <protection hidden="1"/>
    </xf>
    <xf numFmtId="0" fontId="11" fillId="8" borderId="15" xfId="0" applyFont="1" applyFill="1" applyBorder="1" applyAlignment="1" applyProtection="1">
      <alignment horizontal="center" vertical="center"/>
      <protection hidden="1"/>
    </xf>
    <xf numFmtId="0" fontId="39" fillId="8" borderId="88" xfId="0" applyFont="1" applyFill="1" applyBorder="1" applyAlignment="1" applyProtection="1">
      <alignment horizontal="center" vertical="center"/>
      <protection hidden="1"/>
    </xf>
    <xf numFmtId="0" fontId="39" fillId="8" borderId="89" xfId="0" applyFont="1" applyFill="1" applyBorder="1" applyAlignment="1" applyProtection="1">
      <alignment horizontal="center" vertical="center"/>
      <protection hidden="1"/>
    </xf>
    <xf numFmtId="0" fontId="14" fillId="8" borderId="15" xfId="0" applyFont="1" applyFill="1" applyBorder="1" applyAlignment="1" applyProtection="1">
      <alignment horizontal="center" vertical="center"/>
      <protection hidden="1"/>
    </xf>
    <xf numFmtId="0" fontId="12" fillId="8" borderId="17" xfId="0" applyFont="1" applyFill="1" applyBorder="1" applyAlignment="1" applyProtection="1">
      <alignment horizontal="center" vertical="center"/>
      <protection hidden="1"/>
    </xf>
    <xf numFmtId="0" fontId="12" fillId="8" borderId="16" xfId="0" applyFont="1" applyFill="1" applyBorder="1" applyAlignment="1" applyProtection="1">
      <alignment horizontal="center" vertical="center"/>
      <protection hidden="1"/>
    </xf>
    <xf numFmtId="0" fontId="2" fillId="13" borderId="90" xfId="0" applyFont="1" applyFill="1" applyBorder="1" applyAlignment="1" applyProtection="1">
      <alignment horizontal="center" vertical="center"/>
      <protection locked="0"/>
    </xf>
    <xf numFmtId="0" fontId="2" fillId="13" borderId="91" xfId="0" applyFont="1" applyFill="1" applyBorder="1" applyAlignment="1" applyProtection="1">
      <alignment horizontal="center" vertical="center"/>
      <protection locked="0"/>
    </xf>
    <xf numFmtId="164" fontId="2" fillId="13" borderId="46" xfId="0" applyNumberFormat="1" applyFont="1" applyFill="1" applyBorder="1" applyAlignment="1">
      <alignment horizontal="center" vertical="center"/>
    </xf>
    <xf numFmtId="168" fontId="2" fillId="13" borderId="15" xfId="0" applyNumberFormat="1" applyFont="1" applyFill="1" applyBorder="1" applyAlignment="1" applyProtection="1">
      <alignment horizontal="center" vertical="center"/>
      <protection locked="0"/>
    </xf>
    <xf numFmtId="167" fontId="2" fillId="13" borderId="15" xfId="0" applyNumberFormat="1" applyFont="1" applyFill="1" applyBorder="1" applyAlignment="1" applyProtection="1">
      <alignment horizontal="center" vertical="center"/>
      <protection locked="0"/>
    </xf>
    <xf numFmtId="0" fontId="2" fillId="13" borderId="92" xfId="0" applyFont="1" applyFill="1" applyBorder="1" applyAlignment="1">
      <alignment horizontal="center"/>
    </xf>
    <xf numFmtId="0" fontId="2" fillId="13" borderId="91" xfId="0" applyFont="1" applyFill="1" applyBorder="1" applyAlignment="1">
      <alignment horizontal="center"/>
    </xf>
    <xf numFmtId="0" fontId="2" fillId="12" borderId="15" xfId="0" applyFont="1" applyFill="1" applyBorder="1" applyAlignment="1" applyProtection="1">
      <alignment horizontal="center"/>
      <protection hidden="1"/>
    </xf>
    <xf numFmtId="166" fontId="2" fillId="17" borderId="46" xfId="0" applyNumberFormat="1" applyFont="1" applyFill="1" applyBorder="1" applyAlignment="1">
      <alignment horizontal="center" vertical="center"/>
    </xf>
    <xf numFmtId="0" fontId="2" fillId="12" borderId="66" xfId="0" applyFont="1" applyFill="1" applyBorder="1" applyAlignment="1" applyProtection="1">
      <alignment horizontal="center"/>
      <protection hidden="1"/>
    </xf>
    <xf numFmtId="0" fontId="2" fillId="12" borderId="93" xfId="0" applyFont="1" applyFill="1" applyBorder="1" applyAlignment="1" applyProtection="1">
      <alignment horizontal="center"/>
      <protection hidden="1"/>
    </xf>
    <xf numFmtId="0" fontId="11" fillId="8" borderId="94" xfId="0" applyFont="1" applyFill="1" applyBorder="1" applyAlignment="1" applyProtection="1">
      <alignment horizontal="center" vertical="center"/>
      <protection hidden="1"/>
    </xf>
    <xf numFmtId="0" fontId="11" fillId="8" borderId="68" xfId="0" applyFont="1" applyFill="1" applyBorder="1" applyAlignment="1" applyProtection="1">
      <alignment horizontal="center" vertical="center"/>
      <protection hidden="1"/>
    </xf>
    <xf numFmtId="0" fontId="12" fillId="8" borderId="95" xfId="0" applyFont="1" applyFill="1" applyBorder="1" applyAlignment="1" applyProtection="1">
      <alignment horizontal="center" vertical="center"/>
      <protection hidden="1"/>
    </xf>
    <xf numFmtId="0" fontId="11" fillId="8" borderId="96" xfId="0" applyFont="1" applyFill="1" applyBorder="1" applyAlignment="1" applyProtection="1">
      <alignment horizontal="center" vertical="center"/>
      <protection hidden="1"/>
    </xf>
    <xf numFmtId="0" fontId="39" fillId="8" borderId="97" xfId="0" applyFont="1" applyFill="1" applyBorder="1" applyAlignment="1" applyProtection="1">
      <alignment horizontal="center" vertical="center"/>
      <protection hidden="1"/>
    </xf>
    <xf numFmtId="0" fontId="2" fillId="4" borderId="34" xfId="2" applyFont="1" applyFill="1" applyBorder="1" applyAlignment="1" applyProtection="1">
      <alignment horizontal="center" vertical="center"/>
      <protection locked="0"/>
    </xf>
    <xf numFmtId="0" fontId="2" fillId="4" borderId="14" xfId="2" applyFont="1" applyFill="1" applyBorder="1" applyAlignment="1" applyProtection="1">
      <alignment horizontal="center" vertical="center"/>
      <protection locked="0"/>
    </xf>
    <xf numFmtId="0" fontId="14" fillId="8" borderId="98" xfId="0" applyFont="1" applyFill="1" applyBorder="1" applyAlignment="1" applyProtection="1">
      <alignment horizontal="center" vertical="center"/>
      <protection hidden="1"/>
    </xf>
    <xf numFmtId="0" fontId="14" fillId="8" borderId="43" xfId="0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 vertical="center"/>
      <protection locked="0"/>
    </xf>
    <xf numFmtId="0" fontId="3" fillId="20" borderId="0" xfId="0" applyFont="1" applyFill="1" applyAlignment="1">
      <alignment horizontal="center"/>
    </xf>
    <xf numFmtId="0" fontId="33" fillId="13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30" borderId="21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0" borderId="19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30" borderId="21" xfId="0" applyFill="1" applyBorder="1" applyAlignment="1" applyProtection="1">
      <alignment horizontal="center"/>
      <protection locked="0"/>
    </xf>
    <xf numFmtId="0" fontId="0" fillId="30" borderId="23" xfId="0" applyFill="1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30" borderId="19" xfId="0" applyFill="1" applyBorder="1" applyAlignment="1" applyProtection="1">
      <alignment horizontal="center"/>
      <protection locked="0"/>
    </xf>
    <xf numFmtId="0" fontId="0" fillId="30" borderId="20" xfId="0" applyFill="1" applyBorder="1" applyAlignment="1" applyProtection="1">
      <alignment horizontal="center"/>
      <protection locked="0"/>
    </xf>
    <xf numFmtId="0" fontId="0" fillId="28" borderId="31" xfId="0" applyFill="1" applyBorder="1" applyAlignment="1">
      <alignment horizontal="center"/>
    </xf>
    <xf numFmtId="0" fontId="0" fillId="28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2" fontId="0" fillId="22" borderId="53" xfId="0" applyNumberFormat="1" applyFill="1" applyBorder="1" applyAlignment="1">
      <alignment horizontal="center"/>
    </xf>
    <xf numFmtId="2" fontId="0" fillId="22" borderId="65" xfId="0" applyNumberFormat="1" applyFill="1" applyBorder="1" applyAlignment="1">
      <alignment horizontal="center"/>
    </xf>
    <xf numFmtId="2" fontId="0" fillId="22" borderId="11" xfId="0" applyNumberFormat="1" applyFill="1" applyBorder="1" applyAlignment="1">
      <alignment horizontal="center"/>
    </xf>
    <xf numFmtId="2" fontId="0" fillId="22" borderId="54" xfId="0" applyNumberFormat="1" applyFill="1" applyBorder="1" applyAlignment="1">
      <alignment horizontal="center"/>
    </xf>
    <xf numFmtId="0" fontId="0" fillId="22" borderId="99" xfId="0" applyFill="1" applyBorder="1" applyAlignment="1">
      <alignment horizontal="center"/>
    </xf>
    <xf numFmtId="0" fontId="0" fillId="22" borderId="100" xfId="0" applyFill="1" applyBorder="1" applyAlignment="1">
      <alignment horizontal="center"/>
    </xf>
    <xf numFmtId="0" fontId="0" fillId="22" borderId="101" xfId="0" applyFill="1" applyBorder="1" applyAlignment="1">
      <alignment horizontal="center"/>
    </xf>
    <xf numFmtId="2" fontId="0" fillId="22" borderId="52" xfId="0" applyNumberFormat="1" applyFill="1" applyBorder="1" applyAlignment="1">
      <alignment horizontal="center"/>
    </xf>
    <xf numFmtId="194" fontId="2" fillId="13" borderId="46" xfId="0" applyNumberFormat="1" applyFont="1" applyFill="1" applyBorder="1" applyAlignment="1">
      <alignment horizontal="center" vertical="center"/>
    </xf>
    <xf numFmtId="195" fontId="2" fillId="17" borderId="15" xfId="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2" fillId="0" borderId="22" xfId="0" applyNumberFormat="1" applyFont="1" applyBorder="1" applyAlignment="1">
      <alignment horizontal="center" vertical="center"/>
    </xf>
    <xf numFmtId="175" fontId="2" fillId="0" borderId="2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  <dxf>
      <font>
        <color rgb="FFFF0000"/>
      </font>
    </dxf>
    <dxf>
      <font>
        <color rgb="FF808080"/>
      </font>
    </dxf>
    <dxf>
      <fill>
        <patternFill>
          <bgColor indexed="10"/>
        </patternFill>
      </fill>
    </dxf>
    <dxf>
      <fill>
        <patternFill patternType="solid">
          <fgColor indexed="53"/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color rgb="FFCCFFFF"/>
      </font>
    </dxf>
    <dxf>
      <font>
        <color rgb="FFCC6600"/>
      </font>
    </dxf>
    <dxf>
      <font>
        <color rgb="FFCC6600"/>
      </font>
    </dxf>
    <dxf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  <dxf>
      <font>
        <color rgb="FF99CCFF"/>
      </font>
    </dxf>
    <dxf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  <border>
        <right/>
        <top/>
        <bottom/>
      </border>
    </dxf>
    <dxf>
      <font>
        <color indexed="9"/>
      </font>
      <fill>
        <patternFill patternType="solid">
          <bgColor indexed="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right/>
        <bottom/>
      </border>
    </dxf>
    <dxf>
      <fill>
        <patternFill patternType="solid">
          <fgColor indexed="60"/>
          <bgColor indexed="10"/>
        </patternFill>
      </fill>
    </dxf>
    <dxf>
      <font>
        <color rgb="FFFFFF99"/>
        <name val="Cambria"/>
        <scheme val="none"/>
      </font>
    </dxf>
    <dxf>
      <font>
        <color rgb="FFFFCC99"/>
      </font>
    </dxf>
    <dxf>
      <font>
        <color rgb="FF808080"/>
      </font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rgb="FFFF0000"/>
      </font>
    </dxf>
    <dxf>
      <font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FF0000"/>
      </font>
    </dxf>
    <dxf>
      <font>
        <color rgb="FFCC6600"/>
      </font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</dxfs>
  <tableStyles count="1" defaultTableStyle="TableStyleMedium2" defaultPivotStyle="PivotStyleLight16">
    <tableStyle name="Invisible" pivot="0" table="0" count="0" xr9:uid="{F4726A1C-5962-4C6D-A156-DDCD1FCD6B5E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85232743879301E-2"/>
          <c:y val="6.1378198400092628E-2"/>
          <c:w val="0.84871001627006748"/>
          <c:h val="0.90566037735849303"/>
        </c:manualLayout>
      </c:layout>
      <c:scatterChart>
        <c:scatterStyle val="lineMarker"/>
        <c:varyColors val="0"/>
        <c:ser>
          <c:idx val="0"/>
          <c:order val="0"/>
          <c:tx>
            <c:v>fuselage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Stabilito!$D$124:$D$131</c:f>
              <c:numCache>
                <c:formatCode>0</c:formatCode>
                <c:ptCount val="8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-275</c:v>
                </c:pt>
                <c:pt idx="3">
                  <c:v>-275</c:v>
                </c:pt>
                <c:pt idx="4">
                  <c:v>-275</c:v>
                </c:pt>
                <c:pt idx="5">
                  <c:v>-275</c:v>
                </c:pt>
                <c:pt idx="6">
                  <c:v>-1300</c:v>
                </c:pt>
                <c:pt idx="7">
                  <c:v>-1300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F59-84CA-EEBAEE08982C}"/>
            </c:ext>
          </c:extLst>
        </c:ser>
        <c:ser>
          <c:idx val="1"/>
          <c:order val="1"/>
          <c:tx>
            <c:v>aileron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Stabilito!$D$132:$D$136</c:f>
              <c:numCache>
                <c:formatCode>0</c:formatCode>
                <c:ptCount val="5"/>
                <c:pt idx="0">
                  <c:v>42</c:v>
                </c:pt>
                <c:pt idx="1">
                  <c:v>162</c:v>
                </c:pt>
                <c:pt idx="2">
                  <c:v>162</c:v>
                </c:pt>
                <c:pt idx="3">
                  <c:v>42</c:v>
                </c:pt>
                <c:pt idx="4">
                  <c:v>42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-970</c:v>
                </c:pt>
                <c:pt idx="1">
                  <c:v>-1160</c:v>
                </c:pt>
                <c:pt idx="2">
                  <c:v>-1230</c:v>
                </c:pt>
                <c:pt idx="3">
                  <c:v>-1300</c:v>
                </c:pt>
                <c:pt idx="4">
                  <c:v>-970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5-4F59-84CA-EEBAEE08982C}"/>
            </c:ext>
          </c:extLst>
        </c:ser>
        <c:ser>
          <c:idx val="2"/>
          <c:order val="2"/>
          <c:tx>
            <c:v>fuselage2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Stabilito!$E$124:$E$131</c:f>
              <c:numCache>
                <c:formatCode>0</c:formatCode>
                <c:ptCount val="8"/>
                <c:pt idx="0">
                  <c:v>0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-42</c:v>
                </c:pt>
                <c:pt idx="5">
                  <c:v>-42</c:v>
                </c:pt>
                <c:pt idx="6">
                  <c:v>-42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-275</c:v>
                </c:pt>
                <c:pt idx="3">
                  <c:v>-275</c:v>
                </c:pt>
                <c:pt idx="4">
                  <c:v>-275</c:v>
                </c:pt>
                <c:pt idx="5">
                  <c:v>-275</c:v>
                </c:pt>
                <c:pt idx="6">
                  <c:v>-1300</c:v>
                </c:pt>
                <c:pt idx="7">
                  <c:v>-1300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5-4F59-84CA-EEBAEE08982C}"/>
            </c:ext>
          </c:extLst>
        </c:ser>
        <c:ser>
          <c:idx val="3"/>
          <c:order val="3"/>
          <c:tx>
            <c:v>aileron2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Stabilito!$E$132:$E$136</c:f>
              <c:numCache>
                <c:formatCode>0</c:formatCode>
                <c:ptCount val="5"/>
                <c:pt idx="0">
                  <c:v>-42</c:v>
                </c:pt>
                <c:pt idx="1">
                  <c:v>-162</c:v>
                </c:pt>
                <c:pt idx="2">
                  <c:v>-162</c:v>
                </c:pt>
                <c:pt idx="3">
                  <c:v>-42</c:v>
                </c:pt>
                <c:pt idx="4">
                  <c:v>-42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-970</c:v>
                </c:pt>
                <c:pt idx="1">
                  <c:v>-1160</c:v>
                </c:pt>
                <c:pt idx="2">
                  <c:v>-1230</c:v>
                </c:pt>
                <c:pt idx="3">
                  <c:v>-1300</c:v>
                </c:pt>
                <c:pt idx="4">
                  <c:v>-970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5-4F59-84CA-EEBAEE08982C}"/>
            </c:ext>
          </c:extLst>
        </c:ser>
        <c:ser>
          <c:idx val="4"/>
          <c:order val="4"/>
          <c:tx>
            <c:strRef>
              <c:f>Stabilito!$B$12</c:f>
              <c:strCache>
                <c:ptCount val="1"/>
                <c:pt idx="0">
                  <c:v>Centre de Masse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Stabilito!$D$149:$D$150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Stabilito!$C$149:$C$150</c:f>
              <c:numCache>
                <c:formatCode>0</c:formatCode>
                <c:ptCount val="2"/>
                <c:pt idx="0">
                  <c:v>-703.84741959611063</c:v>
                </c:pt>
                <c:pt idx="1">
                  <c:v>-646.37367303609346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35-4F59-84CA-EEBAEE08982C}"/>
            </c:ext>
          </c:extLst>
        </c:ser>
        <c:ser>
          <c:idx val="5"/>
          <c:order val="5"/>
          <c:tx>
            <c:strRef>
              <c:f>Stabilito!$F$28</c:f>
              <c:strCache>
                <c:ptCount val="1"/>
                <c:pt idx="0">
                  <c:v>Portance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Stabilito!$D$151:$D$154</c:f>
              <c:numCache>
                <c:formatCode>0</c:formatCode>
                <c:ptCount val="4"/>
                <c:pt idx="0">
                  <c:v>0</c:v>
                </c:pt>
                <c:pt idx="1">
                  <c:v>89.55114291802532</c:v>
                </c:pt>
                <c:pt idx="2">
                  <c:v>89.55114291802532</c:v>
                </c:pt>
                <c:pt idx="3">
                  <c:v>0</c:v>
                </c:pt>
              </c:numCache>
            </c:numRef>
          </c:xVal>
          <c:yVal>
            <c:numRef>
              <c:f>Stabilito!$C$151:$C$154</c:f>
              <c:numCache>
                <c:formatCode>0</c:formatCode>
                <c:ptCount val="4"/>
                <c:pt idx="0">
                  <c:v>-986.63009479914729</c:v>
                </c:pt>
                <c:pt idx="1">
                  <c:v>-986.63009479914729</c:v>
                </c:pt>
                <c:pt idx="2">
                  <c:v>-986.63009479914729</c:v>
                </c:pt>
                <c:pt idx="3">
                  <c:v>-986.63009479914729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5-4F59-84CA-EEBAEE08982C}"/>
            </c:ext>
          </c:extLst>
        </c:ser>
        <c:ser>
          <c:idx val="6"/>
          <c:order val="6"/>
          <c:tx>
            <c:v>canard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Stabilito!$D$158:$D$162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35-4F59-84CA-EEBAEE08982C}"/>
            </c:ext>
          </c:extLst>
        </c:ser>
        <c:ser>
          <c:idx val="7"/>
          <c:order val="7"/>
          <c:tx>
            <c:v>canard2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Stabilito!$E$158:$E$162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35-4F59-84CA-EEBAEE08982C}"/>
            </c:ext>
          </c:extLst>
        </c:ser>
        <c:ser>
          <c:idx val="8"/>
          <c:order val="8"/>
          <c:tx>
            <c:v>masquage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Stabilito!$D$163:$D$167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35-4F59-84CA-EEBAEE08982C}"/>
            </c:ext>
          </c:extLst>
        </c:ser>
        <c:ser>
          <c:idx val="9"/>
          <c:order val="9"/>
          <c:tx>
            <c:v>masquage2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Stabilito!$E$163:$E$167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35-4F59-84CA-EEBAEE08982C}"/>
            </c:ext>
          </c:extLst>
        </c:ser>
        <c:ser>
          <c:idx val="10"/>
          <c:order val="10"/>
          <c:tx>
            <c:v>cadre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Stabilito!$D$168:$D$169</c:f>
              <c:numCache>
                <c:formatCode>0</c:formatCode>
                <c:ptCount val="2"/>
                <c:pt idx="0">
                  <c:v>433.33333333333331</c:v>
                </c:pt>
                <c:pt idx="1">
                  <c:v>-433.33333333333331</c:v>
                </c:pt>
              </c:numCache>
            </c:numRef>
          </c:xVal>
          <c:yVal>
            <c:numRef>
              <c:f>Stabilito!$C$168:$C$169</c:f>
              <c:numCache>
                <c:formatCode>0</c:formatCode>
                <c:ptCount val="2"/>
                <c:pt idx="0">
                  <c:v>-1313</c:v>
                </c:pt>
                <c:pt idx="1">
                  <c:v>-1313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35-4F59-84CA-EEBAEE08982C}"/>
            </c:ext>
          </c:extLst>
        </c:ser>
        <c:ser>
          <c:idx val="11"/>
          <c:order val="11"/>
          <c:tx>
            <c:v>Propu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Stabilito!$D$170:$D$174</c:f>
              <c:numCache>
                <c:formatCode>0</c:formatCode>
                <c:ptCount val="5"/>
                <c:pt idx="0">
                  <c:v>-27</c:v>
                </c:pt>
                <c:pt idx="1">
                  <c:v>27</c:v>
                </c:pt>
                <c:pt idx="2">
                  <c:v>27</c:v>
                </c:pt>
                <c:pt idx="3">
                  <c:v>-27</c:v>
                </c:pt>
                <c:pt idx="4">
                  <c:v>-27</c:v>
                </c:pt>
              </c:numCache>
            </c:numRef>
          </c:xVal>
          <c:yVal>
            <c:numRef>
              <c:f>Stabilito!$C$170:$C$174</c:f>
              <c:numCache>
                <c:formatCode>0</c:formatCode>
                <c:ptCount val="5"/>
                <c:pt idx="0">
                  <c:v>-762</c:v>
                </c:pt>
                <c:pt idx="1">
                  <c:v>-762</c:v>
                </c:pt>
                <c:pt idx="2">
                  <c:v>-1250</c:v>
                </c:pt>
                <c:pt idx="3">
                  <c:v>-1250</c:v>
                </c:pt>
                <c:pt idx="4">
                  <c:v>-762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535-4F59-84CA-EEBAEE08982C}"/>
            </c:ext>
          </c:extLst>
        </c:ser>
        <c:ser>
          <c:idx val="12"/>
          <c:order val="12"/>
          <c:tx>
            <c:v>Cone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Stabilito!$D$175:$D$180</c:f>
              <c:numCache>
                <c:formatCode>0</c:formatCode>
                <c:ptCount val="6"/>
                <c:pt idx="0">
                  <c:v>0</c:v>
                </c:pt>
                <c:pt idx="1">
                  <c:v>4.2</c:v>
                </c:pt>
                <c:pt idx="2">
                  <c:v>10.5</c:v>
                </c:pt>
                <c:pt idx="3">
                  <c:v>21</c:v>
                </c:pt>
                <c:pt idx="4">
                  <c:v>31.5</c:v>
                </c:pt>
                <c:pt idx="5">
                  <c:v>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535-4F59-84CA-EEBAEE08982C}"/>
            </c:ext>
          </c:extLst>
        </c:ser>
        <c:ser>
          <c:idx val="13"/>
          <c:order val="13"/>
          <c:tx>
            <c:v>Cone1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Stabilito!$E$175:$E$180</c:f>
              <c:numCache>
                <c:formatCode>0</c:formatCode>
                <c:ptCount val="6"/>
                <c:pt idx="0">
                  <c:v>0</c:v>
                </c:pt>
                <c:pt idx="1">
                  <c:v>-4.2</c:v>
                </c:pt>
                <c:pt idx="2">
                  <c:v>-10.5</c:v>
                </c:pt>
                <c:pt idx="3">
                  <c:v>-21</c:v>
                </c:pt>
                <c:pt idx="4">
                  <c:v>-31.5</c:v>
                </c:pt>
                <c:pt idx="5">
                  <c:v>-42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535-4F59-84CA-EEBAEE08982C}"/>
            </c:ext>
          </c:extLst>
        </c:ser>
        <c:ser>
          <c:idx val="14"/>
          <c:order val="14"/>
          <c:tx>
            <c:strRef>
              <c:f>Stabilito!$B$137</c:f>
              <c:strCache>
                <c:ptCount val="1"/>
                <c:pt idx="0">
                  <c:v>Envergure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Stabilito!$D$137:$D$139</c:f>
              <c:numCache>
                <c:formatCode>0</c:formatCode>
                <c:ptCount val="3"/>
                <c:pt idx="0">
                  <c:v>-162</c:v>
                </c:pt>
                <c:pt idx="1">
                  <c:v>-102</c:v>
                </c:pt>
                <c:pt idx="2">
                  <c:v>-42</c:v>
                </c:pt>
              </c:numCache>
            </c:numRef>
          </c:xVal>
          <c:yVal>
            <c:numRef>
              <c:f>Stabilito!$C$137:$C$139</c:f>
              <c:numCache>
                <c:formatCode>0</c:formatCode>
                <c:ptCount val="3"/>
                <c:pt idx="0">
                  <c:v>-1343.3333333333333</c:v>
                </c:pt>
                <c:pt idx="1">
                  <c:v>-1343.3333333333333</c:v>
                </c:pt>
                <c:pt idx="2">
                  <c:v>-1343.3333333333333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535-4F59-84CA-EEBAEE08982C}"/>
            </c:ext>
          </c:extLst>
        </c:ser>
        <c:ser>
          <c:idx val="15"/>
          <c:order val="15"/>
          <c:tx>
            <c:strRef>
              <c:f>Stabilito!$B$143</c:f>
              <c:strCache>
                <c:ptCount val="1"/>
                <c:pt idx="0">
                  <c:v>Flèche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Stabilito!$D$143:$D$145</c:f>
              <c:numCache>
                <c:formatCode>0</c:formatCode>
                <c:ptCount val="3"/>
                <c:pt idx="0">
                  <c:v>-205.33333333333334</c:v>
                </c:pt>
                <c:pt idx="1">
                  <c:v>-205.33333333333334</c:v>
                </c:pt>
                <c:pt idx="2">
                  <c:v>-205.33333333333334</c:v>
                </c:pt>
              </c:numCache>
            </c:numRef>
          </c:xVal>
          <c:yVal>
            <c:numRef>
              <c:f>Stabilito!$C$143:$C$145</c:f>
              <c:numCache>
                <c:formatCode>0</c:formatCode>
                <c:ptCount val="3"/>
                <c:pt idx="0">
                  <c:v>-970</c:v>
                </c:pt>
                <c:pt idx="1">
                  <c:v>-1065</c:v>
                </c:pt>
                <c:pt idx="2">
                  <c:v>-1160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535-4F59-84CA-EEBAEE08982C}"/>
            </c:ext>
          </c:extLst>
        </c:ser>
        <c:ser>
          <c:idx val="16"/>
          <c:order val="16"/>
          <c:tx>
            <c:strRef>
              <c:f>Stabilito!$B$146</c:f>
              <c:strCache>
                <c:ptCount val="1"/>
                <c:pt idx="0">
                  <c:v>Saumon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Stabilito!$D$146:$D$148</c:f>
              <c:numCache>
                <c:formatCode>0</c:formatCode>
                <c:ptCount val="3"/>
                <c:pt idx="0">
                  <c:v>-227</c:v>
                </c:pt>
                <c:pt idx="1">
                  <c:v>-227</c:v>
                </c:pt>
                <c:pt idx="2">
                  <c:v>-227</c:v>
                </c:pt>
              </c:numCache>
            </c:numRef>
          </c:xVal>
          <c:yVal>
            <c:numRef>
              <c:f>Stabilito!$C$146:$C$148</c:f>
              <c:numCache>
                <c:formatCode>0</c:formatCode>
                <c:ptCount val="3"/>
                <c:pt idx="0">
                  <c:v>-1160</c:v>
                </c:pt>
                <c:pt idx="1">
                  <c:v>-1195</c:v>
                </c:pt>
                <c:pt idx="2">
                  <c:v>-1230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535-4F59-84CA-EEBAEE08982C}"/>
            </c:ext>
          </c:extLst>
        </c:ser>
        <c:ser>
          <c:idx val="17"/>
          <c:order val="17"/>
          <c:tx>
            <c:strRef>
              <c:f>Stabilito!$B$140</c:f>
              <c:strCache>
                <c:ptCount val="1"/>
                <c:pt idx="0">
                  <c:v>Emplanture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Stabilito!$D$140:$D$142</c:f>
              <c:numCache>
                <c:formatCode>0</c:formatCode>
                <c:ptCount val="3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</c:numCache>
            </c:numRef>
          </c:xVal>
          <c:yVal>
            <c:numRef>
              <c:f>Stabilito!$C$140:$C$142</c:f>
              <c:numCache>
                <c:formatCode>0</c:formatCode>
                <c:ptCount val="3"/>
                <c:pt idx="0">
                  <c:v>-970</c:v>
                </c:pt>
                <c:pt idx="1">
                  <c:v>-1135</c:v>
                </c:pt>
                <c:pt idx="2">
                  <c:v>-1300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535-4F59-84CA-EEBAEE08982C}"/>
            </c:ext>
          </c:extLst>
        </c:ser>
        <c:ser>
          <c:idx val="18"/>
          <c:order val="18"/>
          <c:tx>
            <c:strRef>
              <c:f>Stabilito!$B$155</c:f>
              <c:strCache>
                <c:ptCount val="1"/>
                <c:pt idx="0">
                  <c:v>Marge Statique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Stabilito!$D$155:$D$157</c:f>
              <c:numCache>
                <c:formatCode>0</c:formatCode>
                <c:ptCount val="3"/>
                <c:pt idx="0">
                  <c:v>-227</c:v>
                </c:pt>
                <c:pt idx="1">
                  <c:v>-227</c:v>
                </c:pt>
                <c:pt idx="2">
                  <c:v>-227</c:v>
                </c:pt>
              </c:numCache>
            </c:numRef>
          </c:xVal>
          <c:yVal>
            <c:numRef>
              <c:f>Stabilito!$C$155:$C$157</c:f>
              <c:numCache>
                <c:formatCode>0</c:formatCode>
                <c:ptCount val="3"/>
                <c:pt idx="0">
                  <c:v>-675.11054631610205</c:v>
                </c:pt>
                <c:pt idx="1">
                  <c:v>-830.87032055762461</c:v>
                </c:pt>
                <c:pt idx="2">
                  <c:v>-986.63009479914729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35-4F59-84CA-EEBAEE08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7200"/>
        <c:axId val="148708736"/>
      </c:scatterChart>
      <c:valAx>
        <c:axId val="148707200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8736"/>
        <c:crosses val="max"/>
        <c:crossBetween val="midCat"/>
      </c:valAx>
      <c:valAx>
        <c:axId val="1487087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72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Abaco!$B$75</c:f>
          <c:strCache>
            <c:ptCount val="1"/>
            <c:pt idx="0">
              <c:v>Vitesse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484861159096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54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2.9350000000000001</c:v>
                </c:pt>
                <c:pt idx="2">
                  <c:v>4.1850000000000005</c:v>
                </c:pt>
                <c:pt idx="3">
                  <c:v>5.4350000000000005</c:v>
                </c:pt>
                <c:pt idx="4">
                  <c:v>6.6850000000000005</c:v>
                </c:pt>
                <c:pt idx="5">
                  <c:v>7.9350000000000005</c:v>
                </c:pt>
                <c:pt idx="6">
                  <c:v>9.1850000000000005</c:v>
                </c:pt>
                <c:pt idx="7">
                  <c:v>10.435</c:v>
                </c:pt>
                <c:pt idx="8">
                  <c:v>11.685</c:v>
                </c:pt>
              </c:numCache>
            </c:numRef>
          </c:xVal>
          <c:yVal>
            <c:numRef>
              <c:f>Abaco!$K$41:$K$49</c:f>
              <c:numCache>
                <c:formatCode>General" m/s"</c:formatCode>
                <c:ptCount val="9"/>
                <c:pt idx="0">
                  <c:v>858.03255877092988</c:v>
                </c:pt>
                <c:pt idx="1">
                  <c:v>643.28093903338265</c:v>
                </c:pt>
                <c:pt idx="2">
                  <c:v>470.57500314603016</c:v>
                </c:pt>
                <c:pt idx="3">
                  <c:v>360.03223854406696</c:v>
                </c:pt>
                <c:pt idx="4">
                  <c:v>286.91410010622883</c:v>
                </c:pt>
                <c:pt idx="5">
                  <c:v>235.81852189600707</c:v>
                </c:pt>
                <c:pt idx="6">
                  <c:v>198.36694558944012</c:v>
                </c:pt>
                <c:pt idx="7">
                  <c:v>169.84116550770122</c:v>
                </c:pt>
                <c:pt idx="8">
                  <c:v>147.43535176199717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5-471B-B048-B774D8756BF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2.9350000000000001</c:v>
                </c:pt>
                <c:pt idx="2">
                  <c:v>4.1850000000000005</c:v>
                </c:pt>
                <c:pt idx="3">
                  <c:v>5.4350000000000005</c:v>
                </c:pt>
                <c:pt idx="4">
                  <c:v>6.6850000000000005</c:v>
                </c:pt>
                <c:pt idx="5">
                  <c:v>7.9350000000000005</c:v>
                </c:pt>
                <c:pt idx="6">
                  <c:v>9.1850000000000005</c:v>
                </c:pt>
                <c:pt idx="7">
                  <c:v>10.435</c:v>
                </c:pt>
                <c:pt idx="8">
                  <c:v>11.685</c:v>
                </c:pt>
              </c:numCache>
            </c:numRef>
          </c:xVal>
          <c:yVal>
            <c:numRef>
              <c:f>Abaco!$K$50:$K$58</c:f>
              <c:numCache>
                <c:formatCode>General" m/s"</c:formatCode>
                <c:ptCount val="9"/>
                <c:pt idx="0">
                  <c:v>572.55202180710319</c:v>
                </c:pt>
                <c:pt idx="1">
                  <c:v>507.85856885310949</c:v>
                </c:pt>
                <c:pt idx="2">
                  <c:v>412.2964033151664</c:v>
                </c:pt>
                <c:pt idx="3">
                  <c:v>332.28236589381731</c:v>
                </c:pt>
                <c:pt idx="4">
                  <c:v>272.23175565686012</c:v>
                </c:pt>
                <c:pt idx="5">
                  <c:v>227.36421972542081</c:v>
                </c:pt>
                <c:pt idx="6">
                  <c:v>193.16896438757411</c:v>
                </c:pt>
                <c:pt idx="7">
                  <c:v>166.477688002321</c:v>
                </c:pt>
                <c:pt idx="8">
                  <c:v>145.1690975497886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5-471B-B048-B774D8756BF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2.9350000000000001</c:v>
                </c:pt>
                <c:pt idx="2">
                  <c:v>4.1850000000000005</c:v>
                </c:pt>
                <c:pt idx="3">
                  <c:v>5.4350000000000005</c:v>
                </c:pt>
                <c:pt idx="4">
                  <c:v>6.6850000000000005</c:v>
                </c:pt>
                <c:pt idx="5">
                  <c:v>7.9350000000000005</c:v>
                </c:pt>
                <c:pt idx="6">
                  <c:v>9.1850000000000005</c:v>
                </c:pt>
                <c:pt idx="7">
                  <c:v>10.435</c:v>
                </c:pt>
                <c:pt idx="8">
                  <c:v>11.685</c:v>
                </c:pt>
              </c:numCache>
            </c:numRef>
          </c:xVal>
          <c:yVal>
            <c:numRef>
              <c:f>Abaco!$K$59:$K$67</c:f>
              <c:numCache>
                <c:formatCode>General" m/s"</c:formatCode>
                <c:ptCount val="9"/>
                <c:pt idx="0">
                  <c:v>383.50279504118197</c:v>
                </c:pt>
                <c:pt idx="1">
                  <c:v>369.24097644503968</c:v>
                </c:pt>
                <c:pt idx="2">
                  <c:v>332.27308976787111</c:v>
                </c:pt>
                <c:pt idx="3">
                  <c:v>287.51664872082887</c:v>
                </c:pt>
                <c:pt idx="4">
                  <c:v>246.28285155883526</c:v>
                </c:pt>
                <c:pt idx="5">
                  <c:v>211.5788859421956</c:v>
                </c:pt>
                <c:pt idx="6">
                  <c:v>183.11798529795902</c:v>
                </c:pt>
                <c:pt idx="7">
                  <c:v>159.8199149630596</c:v>
                </c:pt>
                <c:pt idx="8">
                  <c:v>140.60944484430837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5-471B-B048-B774D875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7904"/>
        <c:axId val="193469824"/>
      </c:scatterChart>
      <c:valAx>
        <c:axId val="193467904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605680929611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9824"/>
        <c:crosses val="autoZero"/>
        <c:crossBetween val="midCat"/>
      </c:valAx>
      <c:valAx>
        <c:axId val="193469824"/>
        <c:scaling>
          <c:orientation val="minMax"/>
        </c:scaling>
        <c:delete val="0"/>
        <c:axPos val="l"/>
        <c:majorGridlines/>
        <c:title>
          <c:tx>
            <c:strRef>
              <c:f>Abaco!$B$74</c:f>
              <c:strCache>
                <c:ptCount val="1"/>
                <c:pt idx="0">
                  <c:v>Vitesse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22378207343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/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706733829172051"/>
          <c:w val="0.20833333333333343"/>
          <c:h val="0.2471135276681638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Abaco!$B$77</c:f>
          <c:strCache>
            <c:ptCount val="1"/>
            <c:pt idx="0">
              <c:v>Altitude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54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2.9350000000000001</c:v>
                </c:pt>
                <c:pt idx="2">
                  <c:v>4.1850000000000005</c:v>
                </c:pt>
                <c:pt idx="3">
                  <c:v>5.4350000000000005</c:v>
                </c:pt>
                <c:pt idx="4">
                  <c:v>6.6850000000000005</c:v>
                </c:pt>
                <c:pt idx="5">
                  <c:v>7.9350000000000005</c:v>
                </c:pt>
                <c:pt idx="6">
                  <c:v>9.1850000000000005</c:v>
                </c:pt>
                <c:pt idx="7">
                  <c:v>10.435</c:v>
                </c:pt>
                <c:pt idx="8">
                  <c:v>11.685</c:v>
                </c:pt>
              </c:numCache>
            </c:numRef>
          </c:xVal>
          <c:yVal>
            <c:numRef>
              <c:f>Abaco!$L$41:$L$49</c:f>
              <c:numCache>
                <c:formatCode>General" m"</c:formatCode>
                <c:ptCount val="9"/>
                <c:pt idx="0">
                  <c:v>4140.0163847444119</c:v>
                </c:pt>
                <c:pt idx="1">
                  <c:v>5100.2134102129712</c:v>
                </c:pt>
                <c:pt idx="2">
                  <c:v>4926.7359435533981</c:v>
                </c:pt>
                <c:pt idx="3">
                  <c:v>4222.4234227424759</c:v>
                </c:pt>
                <c:pt idx="4">
                  <c:v>3400.45179627474</c:v>
                </c:pt>
                <c:pt idx="5">
                  <c:v>2667.3733543771996</c:v>
                </c:pt>
                <c:pt idx="6">
                  <c:v>2082.4581929757196</c:v>
                </c:pt>
                <c:pt idx="7">
                  <c:v>1636.328764012962</c:v>
                </c:pt>
                <c:pt idx="8">
                  <c:v>1300.296919504206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3-4D65-B3FC-606C75B7CC8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2.9350000000000001</c:v>
                </c:pt>
                <c:pt idx="2">
                  <c:v>4.1850000000000005</c:v>
                </c:pt>
                <c:pt idx="3">
                  <c:v>5.4350000000000005</c:v>
                </c:pt>
                <c:pt idx="4">
                  <c:v>6.6850000000000005</c:v>
                </c:pt>
                <c:pt idx="5">
                  <c:v>7.9350000000000005</c:v>
                </c:pt>
                <c:pt idx="6">
                  <c:v>9.1850000000000005</c:v>
                </c:pt>
                <c:pt idx="7">
                  <c:v>10.435</c:v>
                </c:pt>
                <c:pt idx="8">
                  <c:v>11.685</c:v>
                </c:pt>
              </c:numCache>
            </c:numRef>
          </c:xVal>
          <c:yVal>
            <c:numRef>
              <c:f>Abaco!$L$50:$L$58</c:f>
              <c:numCache>
                <c:formatCode>General" m"</c:formatCode>
                <c:ptCount val="9"/>
                <c:pt idx="0">
                  <c:v>2450.1363966808603</c:v>
                </c:pt>
                <c:pt idx="1">
                  <c:v>2925.501550122478</c:v>
                </c:pt>
                <c:pt idx="2">
                  <c:v>3000.2723775330264</c:v>
                </c:pt>
                <c:pt idx="3">
                  <c:v>2811.9495163763431</c:v>
                </c:pt>
                <c:pt idx="4">
                  <c:v>2483.3762792563507</c:v>
                </c:pt>
                <c:pt idx="5">
                  <c:v>2111.0119983943277</c:v>
                </c:pt>
                <c:pt idx="6">
                  <c:v>1755.5415047670626</c:v>
                </c:pt>
                <c:pt idx="7">
                  <c:v>1445.4476811104846</c:v>
                </c:pt>
                <c:pt idx="8">
                  <c:v>1187.8203853128325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3-4D65-B3FC-606C75B7CC8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2.9350000000000001</c:v>
                </c:pt>
                <c:pt idx="2">
                  <c:v>4.1850000000000005</c:v>
                </c:pt>
                <c:pt idx="3">
                  <c:v>5.4350000000000005</c:v>
                </c:pt>
                <c:pt idx="4">
                  <c:v>6.6850000000000005</c:v>
                </c:pt>
                <c:pt idx="5">
                  <c:v>7.9350000000000005</c:v>
                </c:pt>
                <c:pt idx="6">
                  <c:v>9.1850000000000005</c:v>
                </c:pt>
                <c:pt idx="7">
                  <c:v>10.435</c:v>
                </c:pt>
                <c:pt idx="8">
                  <c:v>11.685</c:v>
                </c:pt>
              </c:numCache>
            </c:numRef>
          </c:xVal>
          <c:yVal>
            <c:numRef>
              <c:f>Abaco!$L$59:$L$67</c:f>
              <c:numCache>
                <c:formatCode>General" m"</c:formatCode>
                <c:ptCount val="9"/>
                <c:pt idx="0">
                  <c:v>1548.063101059392</c:v>
                </c:pt>
                <c:pt idx="1">
                  <c:v>1769.2958188065163</c:v>
                </c:pt>
                <c:pt idx="2">
                  <c:v>1844.8109907669441</c:v>
                </c:pt>
                <c:pt idx="3">
                  <c:v>1812.4243811681736</c:v>
                </c:pt>
                <c:pt idx="4">
                  <c:v>1702.141598159162</c:v>
                </c:pt>
                <c:pt idx="5">
                  <c:v>1544.3126751978366</c:v>
                </c:pt>
                <c:pt idx="6">
                  <c:v>1365.5591606797038</c:v>
                </c:pt>
                <c:pt idx="7">
                  <c:v>1185.9541295824761</c:v>
                </c:pt>
                <c:pt idx="8">
                  <c:v>1018.2465399621926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73-4D65-B3FC-606C75B7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2576"/>
        <c:axId val="193514496"/>
      </c:scatterChart>
      <c:valAx>
        <c:axId val="1935125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4496"/>
        <c:crosses val="autoZero"/>
        <c:crossBetween val="midCat"/>
      </c:valAx>
      <c:valAx>
        <c:axId val="193514496"/>
        <c:scaling>
          <c:orientation val="minMax"/>
        </c:scaling>
        <c:delete val="0"/>
        <c:axPos val="l"/>
        <c:majorGridlines/>
        <c:title>
          <c:tx>
            <c:strRef>
              <c:f>Abaco!$B$76</c:f>
              <c:strCache>
                <c:ptCount val="1"/>
                <c:pt idx="0">
                  <c:v>Altitude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396263556678061"/>
          <c:w val="0.20833333333333343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Abaco!$B$79</c:f>
          <c:strCache>
            <c:ptCount val="1"/>
            <c:pt idx="0">
              <c:v>Temps de culmination / Masse totale</c:v>
            </c:pt>
          </c:strCache>
        </c:strRef>
      </c:tx>
      <c:layout>
        <c:manualLayout>
          <c:xMode val="edge"/>
          <c:yMode val="edge"/>
          <c:x val="0.18369438576275529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54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2.9350000000000001</c:v>
                </c:pt>
                <c:pt idx="2">
                  <c:v>4.1850000000000005</c:v>
                </c:pt>
                <c:pt idx="3">
                  <c:v>5.4350000000000005</c:v>
                </c:pt>
                <c:pt idx="4">
                  <c:v>6.6850000000000005</c:v>
                </c:pt>
                <c:pt idx="5">
                  <c:v>7.9350000000000005</c:v>
                </c:pt>
                <c:pt idx="6">
                  <c:v>9.1850000000000005</c:v>
                </c:pt>
                <c:pt idx="7">
                  <c:v>10.435</c:v>
                </c:pt>
                <c:pt idx="8">
                  <c:v>11.685</c:v>
                </c:pt>
              </c:numCache>
            </c:numRef>
          </c:xVal>
          <c:yVal>
            <c:numRef>
              <c:f>Abaco!$M$41:$M$49</c:f>
              <c:numCache>
                <c:formatCode>General" s"</c:formatCode>
                <c:ptCount val="9"/>
                <c:pt idx="0">
                  <c:v>17.801914529830043</c:v>
                </c:pt>
                <c:pt idx="1">
                  <c:v>25.577867660668701</c:v>
                </c:pt>
                <c:pt idx="2">
                  <c:v>28.227689664382847</c:v>
                </c:pt>
                <c:pt idx="3">
                  <c:v>28.058185108192042</c:v>
                </c:pt>
                <c:pt idx="4">
                  <c:v>26.390343723305794</c:v>
                </c:pt>
                <c:pt idx="5">
                  <c:v>24.152326560686138</c:v>
                </c:pt>
                <c:pt idx="6">
                  <c:v>21.872570007401137</c:v>
                </c:pt>
                <c:pt idx="7">
                  <c:v>19.781439946762269</c:v>
                </c:pt>
                <c:pt idx="8">
                  <c:v>17.946163792828496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E-4D16-B659-8F15E40A2BDD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2.9350000000000001</c:v>
                </c:pt>
                <c:pt idx="2">
                  <c:v>4.1850000000000005</c:v>
                </c:pt>
                <c:pt idx="3">
                  <c:v>5.4350000000000005</c:v>
                </c:pt>
                <c:pt idx="4">
                  <c:v>6.6850000000000005</c:v>
                </c:pt>
                <c:pt idx="5">
                  <c:v>7.9350000000000005</c:v>
                </c:pt>
                <c:pt idx="6">
                  <c:v>9.1850000000000005</c:v>
                </c:pt>
                <c:pt idx="7">
                  <c:v>10.435</c:v>
                </c:pt>
                <c:pt idx="8">
                  <c:v>11.685</c:v>
                </c:pt>
              </c:numCache>
            </c:numRef>
          </c:xVal>
          <c:yVal>
            <c:numRef>
              <c:f>Abaco!$M$50:$M$58</c:f>
              <c:numCache>
                <c:formatCode>General" s"</c:formatCode>
                <c:ptCount val="9"/>
                <c:pt idx="0">
                  <c:v>12.751426091791885</c:v>
                </c:pt>
                <c:pt idx="1">
                  <c:v>18.203012502678575</c:v>
                </c:pt>
                <c:pt idx="2">
                  <c:v>20.849814321455842</c:v>
                </c:pt>
                <c:pt idx="3">
                  <c:v>21.854085671891806</c:v>
                </c:pt>
                <c:pt idx="4">
                  <c:v>21.73255404965855</c:v>
                </c:pt>
                <c:pt idx="5">
                  <c:v>20.896356930463408</c:v>
                </c:pt>
                <c:pt idx="6">
                  <c:v>19.681173201368683</c:v>
                </c:pt>
                <c:pt idx="7">
                  <c:v>18.326854981019913</c:v>
                </c:pt>
                <c:pt idx="8">
                  <c:v>16.979359923179793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E-4D16-B659-8F15E40A2BDD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2.9350000000000001</c:v>
                </c:pt>
                <c:pt idx="2">
                  <c:v>4.1850000000000005</c:v>
                </c:pt>
                <c:pt idx="3">
                  <c:v>5.4350000000000005</c:v>
                </c:pt>
                <c:pt idx="4">
                  <c:v>6.6850000000000005</c:v>
                </c:pt>
                <c:pt idx="5">
                  <c:v>7.9350000000000005</c:v>
                </c:pt>
                <c:pt idx="6">
                  <c:v>9.1850000000000005</c:v>
                </c:pt>
                <c:pt idx="7">
                  <c:v>10.435</c:v>
                </c:pt>
                <c:pt idx="8">
                  <c:v>11.685</c:v>
                </c:pt>
              </c:numCache>
            </c:numRef>
          </c:xVal>
          <c:yVal>
            <c:numRef>
              <c:f>Abaco!$M$59:$M$67</c:f>
              <c:numCache>
                <c:formatCode>General" s"</c:formatCode>
                <c:ptCount val="9"/>
                <c:pt idx="0">
                  <c:v>9.6996948352316643</c:v>
                </c:pt>
                <c:pt idx="1">
                  <c:v>13.449591570604026</c:v>
                </c:pt>
                <c:pt idx="2">
                  <c:v>15.572711895895857</c:v>
                </c:pt>
                <c:pt idx="3">
                  <c:v>16.777476867709638</c:v>
                </c:pt>
                <c:pt idx="4">
                  <c:v>17.295275788629993</c:v>
                </c:pt>
                <c:pt idx="5">
                  <c:v>17.28686470509998</c:v>
                </c:pt>
                <c:pt idx="6">
                  <c:v>16.896229491829157</c:v>
                </c:pt>
                <c:pt idx="7">
                  <c:v>16.254016162402934</c:v>
                </c:pt>
                <c:pt idx="8">
                  <c:v>15.469664956762637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E-4D16-B659-8F15E40A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78976"/>
        <c:axId val="195680896"/>
      </c:scatterChart>
      <c:valAx>
        <c:axId val="1956789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4251328334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80896"/>
        <c:crosses val="autoZero"/>
        <c:crossBetween val="midCat"/>
      </c:valAx>
      <c:valAx>
        <c:axId val="195680896"/>
        <c:scaling>
          <c:orientation val="minMax"/>
        </c:scaling>
        <c:delete val="0"/>
        <c:axPos val="l"/>
        <c:majorGridlines/>
        <c:title>
          <c:tx>
            <c:strRef>
              <c:f>Abaco!$B$78</c:f>
              <c:strCache>
                <c:ptCount val="1"/>
                <c:pt idx="0">
                  <c:v>Temps de culmination</c:v>
                </c:pt>
              </c:strCache>
            </c:strRef>
          </c:tx>
          <c:layout>
            <c:manualLayout>
              <c:xMode val="edge"/>
              <c:yMode val="edge"/>
              <c:x val="0.14166677336064695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57744916031841"/>
          <c:y val="0.18396263556678061"/>
          <c:w val="0.20325203252032525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Stabilito!$B$117</c:f>
          <c:strCache>
            <c:ptCount val="1"/>
            <c:pt idx="0">
              <c:v>Diagramme des critères de stabilité</c:v>
            </c:pt>
          </c:strCache>
        </c:strRef>
      </c:tx>
      <c:layout>
        <c:manualLayout>
          <c:xMode val="edge"/>
          <c:yMode val="edge"/>
          <c:x val="0.19620910443519407"/>
          <c:y val="8.021417322834646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92838196286504E-2"/>
          <c:y val="5.8823683008029475E-2"/>
          <c:w val="0.93899204244031864"/>
          <c:h val="0.82887916965859743"/>
        </c:manualLayout>
      </c:layout>
      <c:scatterChart>
        <c:scatterStyle val="smoothMarker"/>
        <c:varyColors val="0"/>
        <c:ser>
          <c:idx val="0"/>
          <c:order val="0"/>
          <c:tx>
            <c:v>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Stabilito!$B$182:$B$183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Stabilito!$C$182:$C$183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B-4801-8589-0A76F8F3832F}"/>
            </c:ext>
          </c:extLst>
        </c:ser>
        <c:ser>
          <c:idx val="1"/>
          <c:order val="1"/>
          <c:tx>
            <c:v>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Stabilito!$B$184:$B$185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Stabilito!$C$184:$C$185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2B-4801-8589-0A76F8F3832F}"/>
            </c:ext>
          </c:extLst>
        </c:ser>
        <c:ser>
          <c:idx val="2"/>
          <c:order val="2"/>
          <c:tx>
            <c:v>MS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Stabilito!$B$186:$B$187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Stabilito!$C$186:$C$187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2B-4801-8589-0A76F8F3832F}"/>
            </c:ext>
          </c:extLst>
        </c:ser>
        <c:ser>
          <c:idx val="3"/>
          <c:order val="3"/>
          <c:tx>
            <c:v>MS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Stabilito!$B$188:$B$189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Stabilito!$C$188:$C$189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2B-4801-8589-0A76F8F3832F}"/>
            </c:ext>
          </c:extLst>
        </c:ser>
        <c:ser>
          <c:idx val="5"/>
          <c:order val="6"/>
          <c:tx>
            <c:v>MS*Cna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Stabilito!$D$182:$D$187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Stabilito!$E$182:$E$187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13.333333333333334</c:v>
                </c:pt>
                <c:pt idx="4">
                  <c:v>8</c:v>
                </c:pt>
                <c:pt idx="5">
                  <c:v>5.7142857142857144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2B-4801-8589-0A76F8F3832F}"/>
            </c:ext>
          </c:extLst>
        </c:ser>
        <c:ser>
          <c:idx val="6"/>
          <c:order val="7"/>
          <c:tx>
            <c:v>MS*Cna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Stabilito!$D$188:$D$193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Stabilito!$E$188:$E$193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16.666666666666668</c:v>
                </c:pt>
                <c:pt idx="5">
                  <c:v>14.285714285714286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2B-4801-8589-0A76F8F3832F}"/>
            </c:ext>
          </c:extLst>
        </c:ser>
        <c:ser>
          <c:idx val="7"/>
          <c:order val="8"/>
          <c:tx>
            <c:v>Cna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Stabilito!$B$195:$B$196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Stabilito!$C$195:$C$196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2B-4801-8589-0A76F8F3832F}"/>
            </c:ext>
          </c:extLst>
        </c:ser>
        <c:ser>
          <c:idx val="8"/>
          <c:order val="9"/>
          <c:tx>
            <c:v>Cna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Stabilito!$B$197:$B$198</c:f>
              <c:numCache>
                <c:formatCode>General</c:formatCode>
                <c:ptCount val="2"/>
                <c:pt idx="0">
                  <c:v>3.6363636363636362</c:v>
                </c:pt>
                <c:pt idx="1">
                  <c:v>7</c:v>
                </c:pt>
              </c:numCache>
            </c:numRef>
          </c:xVal>
          <c:yVal>
            <c:numRef>
              <c:f>Stabilito!$C$197:$C$198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2B-4801-8589-0A76F8F3832F}"/>
            </c:ext>
          </c:extLst>
        </c:ser>
        <c:ser>
          <c:idx val="9"/>
          <c:order val="10"/>
          <c:tx>
            <c:v>MS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Stabilito!$B$199:$B$200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Stabilito!$C$199:$C$200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2B-4801-8589-0A76F8F3832F}"/>
            </c:ext>
          </c:extLst>
        </c:ser>
        <c:ser>
          <c:idx val="10"/>
          <c:order val="11"/>
          <c:tx>
            <c:v>MS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Stabilito!$B$201:$B$202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Stabilito!$C$201:$C$202</c:f>
              <c:numCache>
                <c:formatCode>General</c:formatCode>
                <c:ptCount val="2"/>
                <c:pt idx="0">
                  <c:v>25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scatterChart>
        <c:scatterStyle val="lineMarker"/>
        <c:varyColors val="0"/>
        <c:ser>
          <c:idx val="4"/>
          <c:order val="4"/>
          <c:tx>
            <c:v>Fusée en cours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Stabilito!$B$190:$B$193</c:f>
              <c:numCache>
                <c:formatCode>0.00</c:formatCode>
                <c:ptCount val="4"/>
                <c:pt idx="0">
                  <c:v>3.3664604190837699</c:v>
                </c:pt>
                <c:pt idx="1">
                  <c:v>3.3664604190837699</c:v>
                </c:pt>
                <c:pt idx="2">
                  <c:v>4.0506716876554023</c:v>
                </c:pt>
                <c:pt idx="3">
                  <c:v>4.0506716876554023</c:v>
                </c:pt>
              </c:numCache>
            </c:numRef>
          </c:xVal>
          <c:yVal>
            <c:numRef>
              <c:f>Stabilito!$C$190:$C$193</c:f>
              <c:numCache>
                <c:formatCode>0.00</c:formatCode>
                <c:ptCount val="4"/>
                <c:pt idx="0">
                  <c:v>15.99127552107595</c:v>
                </c:pt>
                <c:pt idx="1">
                  <c:v>15.99127552107595</c:v>
                </c:pt>
                <c:pt idx="2">
                  <c:v>15.99127552107595</c:v>
                </c:pt>
                <c:pt idx="3">
                  <c:v>15.99127552107595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2B-4801-8589-0A76F8F3832F}"/>
            </c:ext>
          </c:extLst>
        </c:ser>
        <c:ser>
          <c:idx val="11"/>
          <c:order val="5"/>
          <c:tx>
            <c:v>Fusée en cours0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Stabilito!$B$193:$B$194</c:f>
              <c:numCache>
                <c:formatCode>0.00</c:formatCode>
                <c:ptCount val="2"/>
                <c:pt idx="0">
                  <c:v>4.0506716876554023</c:v>
                </c:pt>
                <c:pt idx="1">
                  <c:v>3.3664604190837699</c:v>
                </c:pt>
              </c:numCache>
            </c:numRef>
          </c:xVal>
          <c:yVal>
            <c:numRef>
              <c:f>Stabilito!$C$193:$C$194</c:f>
              <c:numCache>
                <c:formatCode>0.00</c:formatCode>
                <c:ptCount val="2"/>
                <c:pt idx="0">
                  <c:v>15.99127552107595</c:v>
                </c:pt>
                <c:pt idx="1">
                  <c:v>15.99127552107595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valAx>
        <c:axId val="148471168"/>
        <c:scaling>
          <c:orientation val="minMax"/>
          <c:max val="7"/>
          <c:min val="0"/>
        </c:scaling>
        <c:delete val="0"/>
        <c:axPos val="b"/>
        <c:title>
          <c:tx>
            <c:strRef>
              <c:f>Stabilito!$B$118</c:f>
              <c:strCache>
                <c:ptCount val="1"/>
                <c:pt idx="0">
                  <c:v>Marge Statique (MS)</c:v>
                </c:pt>
              </c:strCache>
            </c:strRef>
          </c:tx>
          <c:layout>
            <c:manualLayout>
              <c:xMode val="edge"/>
              <c:yMode val="edge"/>
              <c:x val="0.51717271009913568"/>
              <c:y val="0.7309404724409449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81536"/>
        <c:crosses val="autoZero"/>
        <c:crossBetween val="midCat"/>
      </c:valAx>
      <c:valAx>
        <c:axId val="148481536"/>
        <c:scaling>
          <c:orientation val="minMax"/>
          <c:max val="55"/>
          <c:min val="0"/>
        </c:scaling>
        <c:delete val="0"/>
        <c:axPos val="l"/>
        <c:title>
          <c:tx>
            <c:strRef>
              <c:f>Stabilito!$B$119</c:f>
              <c:strCache>
                <c:ptCount val="1"/>
                <c:pt idx="0">
                  <c:v>Portance Cnα</c:v>
                </c:pt>
              </c:strCache>
            </c:strRef>
          </c:tx>
          <c:layout>
            <c:manualLayout>
              <c:xMode val="edge"/>
              <c:yMode val="edge"/>
              <c:x val="6.9119481083972797E-2"/>
              <c:y val="0.24099905511811029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71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Trajecto!$B$110</c:f>
          <c:strCache>
            <c:ptCount val="1"/>
            <c:pt idx="0">
              <c:v>Trajectoire (x z)</c:v>
            </c:pt>
          </c:strCache>
        </c:strRef>
      </c:tx>
      <c:layout>
        <c:manualLayout>
          <c:xMode val="edge"/>
          <c:yMode val="edge"/>
          <c:x val="0.66868786671936287"/>
          <c:y val="3.857574406972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697175950449913E-2"/>
          <c:y val="3.5608360198500402E-2"/>
          <c:w val="0.89697235136230857"/>
          <c:h val="0.89614373166225958"/>
        </c:manualLayout>
      </c:layout>
      <c:scatterChart>
        <c:scatterStyle val="lineMarker"/>
        <c:varyColors val="0"/>
        <c:ser>
          <c:idx val="0"/>
          <c:order val="0"/>
          <c:tx>
            <c:v>Point invisible pour mise à l'echelle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Trajecto!$B$120</c:f>
              <c:numCache>
                <c:formatCode>0</c:formatCode>
                <c:ptCount val="1"/>
                <c:pt idx="0">
                  <c:v>3822.8420547601486</c:v>
                </c:pt>
              </c:numCache>
            </c:numRef>
          </c:xVal>
          <c:yVal>
            <c:numRef>
              <c:f>Trajecto!$C$118</c:f>
              <c:numCache>
                <c:formatCode>0</c:formatCode>
                <c:ptCount val="1"/>
                <c:pt idx="0">
                  <c:v>3822.8420547601486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2-4CA2-BA56-E0E46E48A268}"/>
            </c:ext>
          </c:extLst>
        </c:ser>
        <c:ser>
          <c:idx val="1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Calculs!$AD$4:$AD$1004</c:f>
              <c:numCache>
                <c:formatCode>0</c:formatCode>
                <c:ptCount val="1001"/>
                <c:pt idx="0">
                  <c:v>43.33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68.428665721634076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107.80151578050285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157.37666705251925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209.86329017460363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257.84447179741449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301.85680818018142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342.70147294488822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380.96693772325835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417.09969748768799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451.44774462931719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484.28854780381073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515.84775380605083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546.31209184887462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575.83851948292227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604.56085172331052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632.59465197481234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660.04088142589626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686.98862051641663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713.51704250401872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739.6966969128506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765.59000588297613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791.2506291793876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816.72101387893269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842.02760082652242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867.17565250898417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892.14899856274917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916.91591292587964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941.43603345523479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965.66513015117721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989.55790855001021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1013.0696827288293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1036.1574469997411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1058.7806112661262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1080.9015288678836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1102.4858814640263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1123.5029550790043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1143.9258267616276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1163.731474158815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1182.9008168854409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1201.4186970352571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1219.2738055902028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1236.4585613471443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1252.9689490156336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1268.8043231916799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1283.9671848946816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1298.462937224637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1312.2996264394937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1325.48767437163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1338.0396076135842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1349.9697883293538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1361.29415091539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1372.0299480722256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1382.1955091793507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1391.8100132153659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1400.8932778515493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1409.4655657842004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358.22</c:v>
                </c:pt>
                <c:pt idx="1">
                  <c:v>359.48699323120798</c:v>
                </c:pt>
                <c:pt idx="2">
                  <c:v>360.75517890128333</c:v>
                </c:pt>
                <c:pt idx="3">
                  <c:v>362.02720502605382</c:v>
                </c:pt>
                <c:pt idx="4">
                  <c:v>363.30571997979428</c:v>
                </c:pt>
                <c:pt idx="5">
                  <c:v>364.59337354548046</c:v>
                </c:pt>
                <c:pt idx="6">
                  <c:v>365.89214634546295</c:v>
                </c:pt>
                <c:pt idx="7">
                  <c:v>367.20267761929568</c:v>
                </c:pt>
                <c:pt idx="8">
                  <c:v>368.5249352923118</c:v>
                </c:pt>
                <c:pt idx="9">
                  <c:v>369.8588871748924</c:v>
                </c:pt>
                <c:pt idx="10">
                  <c:v>371.20450096316586</c:v>
                </c:pt>
                <c:pt idx="11">
                  <c:v>372.56174423971169</c:v>
                </c:pt>
                <c:pt idx="12">
                  <c:v>373.9305844742687</c:v>
                </c:pt>
                <c:pt idx="13">
                  <c:v>375.31098902444791</c:v>
                </c:pt>
                <c:pt idx="14">
                  <c:v>376.70292513644944</c:v>
                </c:pt>
                <c:pt idx="15">
                  <c:v>378.10635994578399</c:v>
                </c:pt>
                <c:pt idx="16">
                  <c:v>379.52126047799817</c:v>
                </c:pt>
                <c:pt idx="17">
                  <c:v>380.94759364940404</c:v>
                </c:pt>
                <c:pt idx="18">
                  <c:v>382.38532626781262</c:v>
                </c:pt>
                <c:pt idx="19">
                  <c:v>383.8344250332712</c:v>
                </c:pt>
                <c:pt idx="20">
                  <c:v>385.29485653880454</c:v>
                </c:pt>
                <c:pt idx="21">
                  <c:v>386.76658727115984</c:v>
                </c:pt>
                <c:pt idx="22">
                  <c:v>388.24958361155512</c:v>
                </c:pt>
                <c:pt idx="23">
                  <c:v>389.74381183643141</c:v>
                </c:pt>
                <c:pt idx="24">
                  <c:v>391.24923811820821</c:v>
                </c:pt>
                <c:pt idx="25">
                  <c:v>392.76582852604253</c:v>
                </c:pt>
                <c:pt idx="26">
                  <c:v>394.29354902659088</c:v>
                </c:pt>
                <c:pt idx="27">
                  <c:v>395.83236548477504</c:v>
                </c:pt>
                <c:pt idx="28">
                  <c:v>397.38224366455046</c:v>
                </c:pt>
                <c:pt idx="29">
                  <c:v>398.94314922967789</c:v>
                </c:pt>
                <c:pt idx="30">
                  <c:v>400.51504774449819</c:v>
                </c:pt>
                <c:pt idx="31">
                  <c:v>402.09790467470981</c:v>
                </c:pt>
                <c:pt idx="32">
                  <c:v>403.6916853881491</c:v>
                </c:pt>
                <c:pt idx="33">
                  <c:v>405.29635515557356</c:v>
                </c:pt>
                <c:pt idx="34">
                  <c:v>406.91187915144764</c:v>
                </c:pt>
                <c:pt idx="35">
                  <c:v>408.53822245473111</c:v>
                </c:pt>
                <c:pt idx="36">
                  <c:v>410.17535004966999</c:v>
                </c:pt>
                <c:pt idx="37">
                  <c:v>411.82322682658997</c:v>
                </c:pt>
                <c:pt idx="38">
                  <c:v>413.48181758269214</c:v>
                </c:pt>
                <c:pt idx="39">
                  <c:v>415.15108702285113</c:v>
                </c:pt>
                <c:pt idx="40">
                  <c:v>416.83099976041524</c:v>
                </c:pt>
                <c:pt idx="41">
                  <c:v>418.52152031800892</c:v>
                </c:pt>
                <c:pt idx="42">
                  <c:v>420.22261312833734</c:v>
                </c:pt>
                <c:pt idx="43">
                  <c:v>421.93424253499279</c:v>
                </c:pt>
                <c:pt idx="44">
                  <c:v>423.65637279326319</c:v>
                </c:pt>
                <c:pt idx="45">
                  <c:v>425.38896807094227</c:v>
                </c:pt>
                <c:pt idx="46">
                  <c:v>427.13199244914176</c:v>
                </c:pt>
                <c:pt idx="47">
                  <c:v>428.8854099231051</c:v>
                </c:pt>
                <c:pt idx="48">
                  <c:v>430.6491844030229</c:v>
                </c:pt>
                <c:pt idx="49">
                  <c:v>432.42327971484985</c:v>
                </c:pt>
                <c:pt idx="50">
                  <c:v>434.20765960112328</c:v>
                </c:pt>
                <c:pt idx="51">
                  <c:v>436.00229128152</c:v>
                </c:pt>
                <c:pt idx="52">
                  <c:v>437.80714901800877</c:v>
                </c:pt>
                <c:pt idx="53">
                  <c:v>439.62221056069609</c:v>
                </c:pt>
                <c:pt idx="54">
                  <c:v>441.44745358889804</c:v>
                </c:pt>
                <c:pt idx="55">
                  <c:v>443.28285571160336</c:v>
                </c:pt>
                <c:pt idx="56">
                  <c:v>445.12839446793811</c:v>
                </c:pt>
                <c:pt idx="57">
                  <c:v>446.98404732763231</c:v>
                </c:pt>
                <c:pt idx="58">
                  <c:v>448.84979169148824</c:v>
                </c:pt>
                <c:pt idx="59">
                  <c:v>450.72560489185025</c:v>
                </c:pt>
                <c:pt idx="60">
                  <c:v>452.61146419307659</c:v>
                </c:pt>
                <c:pt idx="61">
                  <c:v>454.50734679201236</c:v>
                </c:pt>
                <c:pt idx="62">
                  <c:v>456.41322981846452</c:v>
                </c:pt>
                <c:pt idx="63">
                  <c:v>458.32909033567802</c:v>
                </c:pt>
                <c:pt idx="64">
                  <c:v>460.25490534081393</c:v>
                </c:pt>
                <c:pt idx="65">
                  <c:v>462.19065176542841</c:v>
                </c:pt>
                <c:pt idx="66">
                  <c:v>464.13630647595375</c:v>
                </c:pt>
                <c:pt idx="67">
                  <c:v>466.09184627418034</c:v>
                </c:pt>
                <c:pt idx="68">
                  <c:v>468.0572478977403</c:v>
                </c:pt>
                <c:pt idx="69">
                  <c:v>470.03248802059233</c:v>
                </c:pt>
                <c:pt idx="70">
                  <c:v>472.01754325350782</c:v>
                </c:pt>
                <c:pt idx="71">
                  <c:v>474.01239014455831</c:v>
                </c:pt>
                <c:pt idx="72">
                  <c:v>476.01700517960404</c:v>
                </c:pt>
                <c:pt idx="73">
                  <c:v>478.03136478278401</c:v>
                </c:pt>
                <c:pt idx="74">
                  <c:v>480.05544531700679</c:v>
                </c:pt>
                <c:pt idx="75">
                  <c:v>482.08922308444272</c:v>
                </c:pt>
                <c:pt idx="76">
                  <c:v>484.13267432701713</c:v>
                </c:pt>
                <c:pt idx="77">
                  <c:v>486.18577522690464</c:v>
                </c:pt>
                <c:pt idx="78">
                  <c:v>488.24850190702443</c:v>
                </c:pt>
                <c:pt idx="79">
                  <c:v>490.32083043153659</c:v>
                </c:pt>
                <c:pt idx="80">
                  <c:v>492.40273680633931</c:v>
                </c:pt>
                <c:pt idx="81">
                  <c:v>494.49419697956705</c:v>
                </c:pt>
                <c:pt idx="82">
                  <c:v>496.59518684208967</c:v>
                </c:pt>
                <c:pt idx="83">
                  <c:v>498.70568222801234</c:v>
                </c:pt>
                <c:pt idx="84">
                  <c:v>500.82565891517618</c:v>
                </c:pt>
                <c:pt idx="85">
                  <c:v>502.95509262565986</c:v>
                </c:pt>
                <c:pt idx="86">
                  <c:v>505.09395902628182</c:v>
                </c:pt>
                <c:pt idx="87">
                  <c:v>507.24223372910342</c:v>
                </c:pt>
                <c:pt idx="88">
                  <c:v>509.39989229193242</c:v>
                </c:pt>
                <c:pt idx="89">
                  <c:v>511.56691021882739</c:v>
                </c:pt>
                <c:pt idx="90">
                  <c:v>513.74326296060281</c:v>
                </c:pt>
                <c:pt idx="91">
                  <c:v>515.92892591533439</c:v>
                </c:pt>
                <c:pt idx="92">
                  <c:v>518.12387442886529</c:v>
                </c:pt>
                <c:pt idx="93">
                  <c:v>520.32808379531275</c:v>
                </c:pt>
                <c:pt idx="94">
                  <c:v>522.54152925757523</c:v>
                </c:pt>
                <c:pt idx="95">
                  <c:v>524.76418600783995</c:v>
                </c:pt>
                <c:pt idx="96">
                  <c:v>526.9960291880908</c:v>
                </c:pt>
                <c:pt idx="97">
                  <c:v>529.23703389061689</c:v>
                </c:pt>
                <c:pt idx="98">
                  <c:v>531.48717515852127</c:v>
                </c:pt>
                <c:pt idx="99">
                  <c:v>533.74642798622995</c:v>
                </c:pt>
                <c:pt idx="100">
                  <c:v>536.01476732000128</c:v>
                </c:pt>
                <c:pt idx="101">
                  <c:v>538.29216640444599</c:v>
                </c:pt>
                <c:pt idx="102">
                  <c:v>540.57859512767118</c:v>
                </c:pt>
                <c:pt idx="103">
                  <c:v>542.87402167499397</c:v>
                </c:pt>
                <c:pt idx="104">
                  <c:v>545.17841418410751</c:v>
                </c:pt>
                <c:pt idx="105">
                  <c:v>547.49174074574341</c:v>
                </c:pt>
                <c:pt idx="106">
                  <c:v>549.8139694043341</c:v>
                </c:pt>
                <c:pt idx="107">
                  <c:v>552.14506815867389</c:v>
                </c:pt>
                <c:pt idx="108">
                  <c:v>554.48500496258009</c:v>
                </c:pt>
                <c:pt idx="109">
                  <c:v>556.83374772555351</c:v>
                </c:pt>
                <c:pt idx="110">
                  <c:v>559.19126431343773</c:v>
                </c:pt>
                <c:pt idx="111">
                  <c:v>561.55752254907839</c:v>
                </c:pt>
                <c:pt idx="112">
                  <c:v>563.93249021298118</c:v>
                </c:pt>
                <c:pt idx="113">
                  <c:v>566.31613504396944</c:v>
                </c:pt>
                <c:pt idx="114">
                  <c:v>568.70842473984055</c:v>
                </c:pt>
                <c:pt idx="115">
                  <c:v>571.10932695802205</c:v>
                </c:pt>
                <c:pt idx="116">
                  <c:v>573.51880931622622</c:v>
                </c:pt>
                <c:pt idx="117">
                  <c:v>575.93683939310404</c:v>
                </c:pt>
                <c:pt idx="118">
                  <c:v>578.36338472889838</c:v>
                </c:pt>
                <c:pt idx="119">
                  <c:v>580.79841282609561</c:v>
                </c:pt>
                <c:pt idx="120">
                  <c:v>583.24189115007687</c:v>
                </c:pt>
                <c:pt idx="121">
                  <c:v>585.69378712976766</c:v>
                </c:pt>
                <c:pt idx="122">
                  <c:v>588.15406815828646</c:v>
                </c:pt>
                <c:pt idx="123">
                  <c:v>590.62270159359264</c:v>
                </c:pt>
                <c:pt idx="124">
                  <c:v>593.09965475913236</c:v>
                </c:pt>
                <c:pt idx="125">
                  <c:v>595.58489494448384</c:v>
                </c:pt>
                <c:pt idx="126">
                  <c:v>598.07838940600118</c:v>
                </c:pt>
                <c:pt idx="127">
                  <c:v>600.58010536745701</c:v>
                </c:pt>
                <c:pt idx="128">
                  <c:v>603.09001002068351</c:v>
                </c:pt>
                <c:pt idx="129">
                  <c:v>605.60807052621226</c:v>
                </c:pt>
                <c:pt idx="130">
                  <c:v>608.13425401391248</c:v>
                </c:pt>
                <c:pt idx="131">
                  <c:v>610.66852758362825</c:v>
                </c:pt>
                <c:pt idx="132">
                  <c:v>613.21085830581387</c:v>
                </c:pt>
                <c:pt idx="133">
                  <c:v>615.76121322216761</c:v>
                </c:pt>
                <c:pt idx="134">
                  <c:v>618.31955934626444</c:v>
                </c:pt>
                <c:pt idx="135">
                  <c:v>620.88586366418645</c:v>
                </c:pt>
                <c:pt idx="136">
                  <c:v>623.46009313515242</c:v>
                </c:pt>
                <c:pt idx="137">
                  <c:v>626.04221469214508</c:v>
                </c:pt>
                <c:pt idx="138">
                  <c:v>628.63219524253725</c:v>
                </c:pt>
                <c:pt idx="139">
                  <c:v>631.23000166871566</c:v>
                </c:pt>
                <c:pt idx="140">
                  <c:v>633.83560082870372</c:v>
                </c:pt>
                <c:pt idx="141">
                  <c:v>636.4489595567818</c:v>
                </c:pt>
                <c:pt idx="142">
                  <c:v>639.07004466410649</c:v>
                </c:pt>
                <c:pt idx="143">
                  <c:v>641.69882293932721</c:v>
                </c:pt>
                <c:pt idx="144">
                  <c:v>644.33526114920153</c:v>
                </c:pt>
                <c:pt idx="145">
                  <c:v>646.97932603920833</c:v>
                </c:pt>
                <c:pt idx="146">
                  <c:v>649.63098433415917</c:v>
                </c:pt>
                <c:pt idx="147">
                  <c:v>652.29020273880758</c:v>
                </c:pt>
                <c:pt idx="148">
                  <c:v>654.95694793845644</c:v>
                </c:pt>
                <c:pt idx="149">
                  <c:v>657.63118659956353</c:v>
                </c:pt>
                <c:pt idx="150">
                  <c:v>660.31288537034447</c:v>
                </c:pt>
                <c:pt idx="151">
                  <c:v>663.00201144821119</c:v>
                </c:pt>
                <c:pt idx="152">
                  <c:v>665.69853314739169</c:v>
                </c:pt>
                <c:pt idx="153">
                  <c:v>668.4024193324384</c:v>
                </c:pt>
                <c:pt idx="154">
                  <c:v>671.11363885152809</c:v>
                </c:pt>
                <c:pt idx="155">
                  <c:v>673.83216053700721</c:v>
                </c:pt>
                <c:pt idx="156">
                  <c:v>676.55795320593597</c:v>
                </c:pt>
                <c:pt idx="157">
                  <c:v>679.29098566062976</c:v>
                </c:pt>
                <c:pt idx="158">
                  <c:v>682.03122668919934</c:v>
                </c:pt>
                <c:pt idx="159">
                  <c:v>684.77864506608853</c:v>
                </c:pt>
                <c:pt idx="160">
                  <c:v>687.53320955261029</c:v>
                </c:pt>
                <c:pt idx="161">
                  <c:v>690.29488889748052</c:v>
                </c:pt>
                <c:pt idx="162">
                  <c:v>693.06365183735011</c:v>
                </c:pt>
                <c:pt idx="163">
                  <c:v>695.83946709733482</c:v>
                </c:pt>
                <c:pt idx="164">
                  <c:v>698.62230339154303</c:v>
                </c:pt>
                <c:pt idx="165">
                  <c:v>701.41212942360141</c:v>
                </c:pt>
                <c:pt idx="166">
                  <c:v>704.20891388717848</c:v>
                </c:pt>
                <c:pt idx="167">
                  <c:v>707.01262546650628</c:v>
                </c:pt>
                <c:pt idx="168">
                  <c:v>709.82323283689971</c:v>
                </c:pt>
                <c:pt idx="169">
                  <c:v>712.64070466527335</c:v>
                </c:pt>
                <c:pt idx="170">
                  <c:v>715.46500961065692</c:v>
                </c:pt>
                <c:pt idx="171">
                  <c:v>718.29611632470767</c:v>
                </c:pt>
                <c:pt idx="172">
                  <c:v>721.13399345222103</c:v>
                </c:pt>
                <c:pt idx="173">
                  <c:v>723.97860963163907</c:v>
                </c:pt>
                <c:pt idx="174">
                  <c:v>726.82993349555636</c:v>
                </c:pt>
                <c:pt idx="175">
                  <c:v>729.68793367122373</c:v>
                </c:pt>
                <c:pt idx="176">
                  <c:v>732.55257878104987</c:v>
                </c:pt>
                <c:pt idx="177">
                  <c:v>735.4238374431003</c:v>
                </c:pt>
                <c:pt idx="178">
                  <c:v>738.30167827159426</c:v>
                </c:pt>
                <c:pt idx="179">
                  <c:v>741.18606987739929</c:v>
                </c:pt>
                <c:pt idx="180">
                  <c:v>744.07698086852326</c:v>
                </c:pt>
                <c:pt idx="181">
                  <c:v>746.9743798506039</c:v>
                </c:pt>
                <c:pt idx="182">
                  <c:v>749.87823542739625</c:v>
                </c:pt>
                <c:pt idx="183">
                  <c:v>752.78851620125783</c:v>
                </c:pt>
                <c:pt idx="184">
                  <c:v>755.70519077363053</c:v>
                </c:pt>
                <c:pt idx="185">
                  <c:v>758.62822774552126</c:v>
                </c:pt>
                <c:pt idx="186">
                  <c:v>761.55759571797921</c:v>
                </c:pt>
                <c:pt idx="187">
                  <c:v>764.49326329257087</c:v>
                </c:pt>
                <c:pt idx="188">
                  <c:v>767.43519907185282</c:v>
                </c:pt>
                <c:pt idx="189">
                  <c:v>770.38337165984194</c:v>
                </c:pt>
                <c:pt idx="190">
                  <c:v>773.33774966248268</c:v>
                </c:pt>
                <c:pt idx="191">
                  <c:v>776.29830168811247</c:v>
                </c:pt>
                <c:pt idx="192">
                  <c:v>779.26499634792401</c:v>
                </c:pt>
                <c:pt idx="193">
                  <c:v>782.23780225642543</c:v>
                </c:pt>
                <c:pt idx="194">
                  <c:v>785.21668803189777</c:v>
                </c:pt>
                <c:pt idx="195">
                  <c:v>788.20162229684945</c:v>
                </c:pt>
                <c:pt idx="196">
                  <c:v>791.19257367846899</c:v>
                </c:pt>
                <c:pt idx="197">
                  <c:v>794.18951080907448</c:v>
                </c:pt>
                <c:pt idx="198">
                  <c:v>797.19240232656045</c:v>
                </c:pt>
                <c:pt idx="199">
                  <c:v>800.20121687484243</c:v>
                </c:pt>
                <c:pt idx="200">
                  <c:v>803.21592310429901</c:v>
                </c:pt>
                <c:pt idx="201">
                  <c:v>806.2364896722105</c:v>
                </c:pt>
                <c:pt idx="202">
                  <c:v>809.2628852431958</c:v>
                </c:pt>
                <c:pt idx="203">
                  <c:v>812.29507848964613</c:v>
                </c:pt>
                <c:pt idx="204">
                  <c:v>815.33303809215613</c:v>
                </c:pt>
                <c:pt idx="205">
                  <c:v>818.37673273995244</c:v>
                </c:pt>
                <c:pt idx="206">
                  <c:v>821.42613113131938</c:v>
                </c:pt>
                <c:pt idx="207">
                  <c:v>824.48120197402227</c:v>
                </c:pt>
                <c:pt idx="208">
                  <c:v>827.54191398572743</c:v>
                </c:pt>
                <c:pt idx="209">
                  <c:v>830.60823589442043</c:v>
                </c:pt>
                <c:pt idx="210">
                  <c:v>833.68013643882045</c:v>
                </c:pt>
                <c:pt idx="211">
                  <c:v>836.75758436879289</c:v>
                </c:pt>
                <c:pt idx="212">
                  <c:v>839.84054844575871</c:v>
                </c:pt>
                <c:pt idx="213">
                  <c:v>842.92899744310125</c:v>
                </c:pt>
                <c:pt idx="214">
                  <c:v>846.02290014657012</c:v>
                </c:pt>
                <c:pt idx="215">
                  <c:v>849.12222535468266</c:v>
                </c:pt>
                <c:pt idx="216">
                  <c:v>852.22694187912214</c:v>
                </c:pt>
                <c:pt idx="217">
                  <c:v>855.33701854513367</c:v>
                </c:pt>
                <c:pt idx="218">
                  <c:v>858.45242419191709</c:v>
                </c:pt>
                <c:pt idx="219">
                  <c:v>861.57312767301687</c:v>
                </c:pt>
                <c:pt idx="220">
                  <c:v>864.69909785671007</c:v>
                </c:pt>
                <c:pt idx="221">
                  <c:v>867.83030362639033</c:v>
                </c:pt>
                <c:pt idx="222">
                  <c:v>870.9667138809499</c:v>
                </c:pt>
                <c:pt idx="223">
                  <c:v>874.10829753515861</c:v>
                </c:pt>
                <c:pt idx="224">
                  <c:v>877.25502352004025</c:v>
                </c:pt>
                <c:pt idx="225">
                  <c:v>880.40686078324552</c:v>
                </c:pt>
                <c:pt idx="226">
                  <c:v>883.563778289423</c:v>
                </c:pt>
                <c:pt idx="227">
                  <c:v>886.72574502058671</c:v>
                </c:pt>
                <c:pt idx="228">
                  <c:v>889.89272997648106</c:v>
                </c:pt>
                <c:pt idx="229">
                  <c:v>893.06470217494302</c:v>
                </c:pt>
                <c:pt idx="230">
                  <c:v>896.24163065226151</c:v>
                </c:pt>
                <c:pt idx="231">
                  <c:v>899.42348446353355</c:v>
                </c:pt>
                <c:pt idx="232">
                  <c:v>902.61023268301847</c:v>
                </c:pt>
                <c:pt idx="233">
                  <c:v>905.80184440448807</c:v>
                </c:pt>
                <c:pt idx="234">
                  <c:v>908.99828874157515</c:v>
                </c:pt>
                <c:pt idx="235">
                  <c:v>912.19953482811832</c:v>
                </c:pt>
                <c:pt idx="236">
                  <c:v>915.40555181850459</c:v>
                </c:pt>
                <c:pt idx="237">
                  <c:v>918.6163088880088</c:v>
                </c:pt>
                <c:pt idx="238">
                  <c:v>921.83177523313009</c:v>
                </c:pt>
                <c:pt idx="239">
                  <c:v>925.05192007192591</c:v>
                </c:pt>
                <c:pt idx="240">
                  <c:v>928.27671264434309</c:v>
                </c:pt>
                <c:pt idx="241">
                  <c:v>931.50612221254573</c:v>
                </c:pt>
                <c:pt idx="242">
                  <c:v>934.74011806124088</c:v>
                </c:pt>
                <c:pt idx="243">
                  <c:v>937.97866949800061</c:v>
                </c:pt>
                <c:pt idx="244">
                  <c:v>941.22174585358221</c:v>
                </c:pt>
                <c:pt idx="245">
                  <c:v>944.46931648224438</c:v>
                </c:pt>
                <c:pt idx="246">
                  <c:v>947.72135076206166</c:v>
                </c:pt>
                <c:pt idx="247">
                  <c:v>950.97781809523565</c:v>
                </c:pt>
                <c:pt idx="248">
                  <c:v>954.23868790840299</c:v>
                </c:pt>
                <c:pt idx="249">
                  <c:v>957.50392965294111</c:v>
                </c:pt>
                <c:pt idx="250">
                  <c:v>960.7735128052708</c:v>
                </c:pt>
                <c:pt idx="251">
                  <c:v>964.04740439173315</c:v>
                </c:pt>
                <c:pt idx="252">
                  <c:v>967.32556651479206</c:v>
                </c:pt>
                <c:pt idx="253">
                  <c:v>970.60795883360367</c:v>
                </c:pt>
                <c:pt idx="254">
                  <c:v>973.89454104332742</c:v>
                </c:pt>
                <c:pt idx="255">
                  <c:v>977.18527287556026</c:v>
                </c:pt>
                <c:pt idx="256">
                  <c:v>980.48011409876642</c:v>
                </c:pt>
                <c:pt idx="257">
                  <c:v>983.77902451870193</c:v>
                </c:pt>
                <c:pt idx="258">
                  <c:v>987.08196397883557</c:v>
                </c:pt>
                <c:pt idx="259">
                  <c:v>990.38889236076398</c:v>
                </c:pt>
                <c:pt idx="260">
                  <c:v>993.69976958462325</c:v>
                </c:pt>
                <c:pt idx="261">
                  <c:v>997.01455560949512</c:v>
                </c:pt>
                <c:pt idx="262">
                  <c:v>1000.3332104338092</c:v>
                </c:pt>
                <c:pt idx="263">
                  <c:v>1003.65569409574</c:v>
                </c:pt>
                <c:pt idx="264">
                  <c:v>1006.9819666735999</c:v>
                </c:pt>
                <c:pt idx="265">
                  <c:v>1010.3119882862272</c:v>
                </c:pt>
                <c:pt idx="266">
                  <c:v>1013.64571909337</c:v>
                </c:pt>
                <c:pt idx="267">
                  <c:v>1016.9831192960646</c:v>
                </c:pt>
                <c:pt idx="268">
                  <c:v>1020.3241491370112</c:v>
                </c:pt>
                <c:pt idx="269">
                  <c:v>1023.6687689009427</c:v>
                </c:pt>
                <c:pt idx="270">
                  <c:v>1027.0169389149908</c:v>
                </c:pt>
                <c:pt idx="271">
                  <c:v>1030.368619549047</c:v>
                </c:pt>
                <c:pt idx="272">
                  <c:v>1033.7237712161188</c:v>
                </c:pt>
                <c:pt idx="273">
                  <c:v>1037.0823543726817</c:v>
                </c:pt>
                <c:pt idx="274">
                  <c:v>1040.444329519027</c:v>
                </c:pt>
                <c:pt idx="275">
                  <c:v>1043.8096571996043</c:v>
                </c:pt>
                <c:pt idx="276">
                  <c:v>1047.1782980033609</c:v>
                </c:pt>
                <c:pt idx="277">
                  <c:v>1050.5502125640749</c:v>
                </c:pt>
                <c:pt idx="278">
                  <c:v>1053.9253615606854</c:v>
                </c:pt>
                <c:pt idx="279">
                  <c:v>1057.3037057176182</c:v>
                </c:pt>
                <c:pt idx="280">
                  <c:v>1060.6852058051059</c:v>
                </c:pt>
                <c:pt idx="281">
                  <c:v>1064.0698226395048</c:v>
                </c:pt>
                <c:pt idx="282">
                  <c:v>1067.4575170836067</c:v>
                </c:pt>
                <c:pt idx="283">
                  <c:v>1070.8482500469474</c:v>
                </c:pt>
                <c:pt idx="284">
                  <c:v>1074.2419824861092</c:v>
                </c:pt>
                <c:pt idx="285">
                  <c:v>1077.6386754050204</c:v>
                </c:pt>
                <c:pt idx="286">
                  <c:v>1081.0382898552498</c:v>
                </c:pt>
                <c:pt idx="287">
                  <c:v>1084.4407869362974</c:v>
                </c:pt>
                <c:pt idx="288">
                  <c:v>1087.8461277958804</c:v>
                </c:pt>
                <c:pt idx="289">
                  <c:v>1091.254273630215</c:v>
                </c:pt>
                <c:pt idx="290">
                  <c:v>1094.6651856842939</c:v>
                </c:pt>
                <c:pt idx="291">
                  <c:v>1098.0788252521597</c:v>
                </c:pt>
                <c:pt idx="292">
                  <c:v>1101.4951536771746</c:v>
                </c:pt>
                <c:pt idx="293">
                  <c:v>1104.9141323522845</c:v>
                </c:pt>
                <c:pt idx="294">
                  <c:v>1108.3357227202798</c:v>
                </c:pt>
                <c:pt idx="295">
                  <c:v>1111.7598862740524</c:v>
                </c:pt>
                <c:pt idx="296">
                  <c:v>1115.1865845568475</c:v>
                </c:pt>
                <c:pt idx="297">
                  <c:v>1118.6157791625126</c:v>
                </c:pt>
                <c:pt idx="298">
                  <c:v>1122.0474044417065</c:v>
                </c:pt>
                <c:pt idx="299">
                  <c:v>1125.4813402352108</c:v>
                </c:pt>
                <c:pt idx="300">
                  <c:v>1128.9174392426266</c:v>
                </c:pt>
                <c:pt idx="301">
                  <c:v>1132.3555543654779</c:v>
                </c:pt>
                <c:pt idx="302">
                  <c:v>1135.7955387104471</c:v>
                </c:pt>
                <c:pt idx="303">
                  <c:v>1139.237245592554</c:v>
                </c:pt>
                <c:pt idx="304">
                  <c:v>1142.6805285382816</c:v>
                </c:pt>
                <c:pt idx="305">
                  <c:v>1146.1252412886458</c:v>
                </c:pt>
                <c:pt idx="306">
                  <c:v>1149.5712378022113</c:v>
                </c:pt>
                <c:pt idx="307">
                  <c:v>1153.0183722580523</c:v>
                </c:pt>
                <c:pt idx="308">
                  <c:v>1156.4664990586598</c:v>
                </c:pt>
                <c:pt idx="309">
                  <c:v>1159.9154728327935</c:v>
                </c:pt>
                <c:pt idx="310">
                  <c:v>1163.3651484382806</c:v>
                </c:pt>
                <c:pt idx="311">
                  <c:v>1166.8153809647604</c:v>
                </c:pt>
                <c:pt idx="312">
                  <c:v>1170.2660257363748</c:v>
                </c:pt>
                <c:pt idx="313">
                  <c:v>1173.716938314406</c:v>
                </c:pt>
                <c:pt idx="314">
                  <c:v>1177.1679744998605</c:v>
                </c:pt>
                <c:pt idx="315">
                  <c:v>1180.6189903359998</c:v>
                </c:pt>
                <c:pt idx="316">
                  <c:v>1184.0698421108184</c:v>
                </c:pt>
                <c:pt idx="317">
                  <c:v>1187.5203863594695</c:v>
                </c:pt>
                <c:pt idx="318">
                  <c:v>1190.9704798666369</c:v>
                </c:pt>
                <c:pt idx="319">
                  <c:v>1194.4199796688565</c:v>
                </c:pt>
                <c:pt idx="320">
                  <c:v>1197.8687430567843</c:v>
                </c:pt>
                <c:pt idx="321">
                  <c:v>1201.3166384471067</c:v>
                </c:pt>
                <c:pt idx="322">
                  <c:v>1204.7635562360797</c:v>
                </c:pt>
                <c:pt idx="323">
                  <c:v>1208.2093978909531</c:v>
                </c:pt>
                <c:pt idx="324">
                  <c:v>1211.6540650590343</c:v>
                </c:pt>
                <c:pt idx="325">
                  <c:v>1215.0974595684579</c:v>
                </c:pt>
                <c:pt idx="326">
                  <c:v>1218.5394834289316</c:v>
                </c:pt>
                <c:pt idx="327">
                  <c:v>1221.9800388324593</c:v>
                </c:pt>
                <c:pt idx="328">
                  <c:v>1225.4190281540411</c:v>
                </c:pt>
                <c:pt idx="329">
                  <c:v>1228.8563539523498</c:v>
                </c:pt>
                <c:pt idx="330">
                  <c:v>1232.2919189703846</c:v>
                </c:pt>
                <c:pt idx="331">
                  <c:v>1235.7256261361033</c:v>
                </c:pt>
                <c:pt idx="332">
                  <c:v>1239.1573785630305</c:v>
                </c:pt>
                <c:pt idx="333">
                  <c:v>1242.5870795508445</c:v>
                </c:pt>
                <c:pt idx="334">
                  <c:v>1246.0146325859416</c:v>
                </c:pt>
                <c:pt idx="335">
                  <c:v>1249.4399413419792</c:v>
                </c:pt>
                <c:pt idx="336">
                  <c:v>1252.8629096803959</c:v>
                </c:pt>
                <c:pt idx="337">
                  <c:v>1256.2834416509113</c:v>
                </c:pt>
                <c:pt idx="338">
                  <c:v>1259.7014414920034</c:v>
                </c:pt>
                <c:pt idx="339">
                  <c:v>1263.1168136313652</c:v>
                </c:pt>
                <c:pt idx="340">
                  <c:v>1266.5294626863401</c:v>
                </c:pt>
                <c:pt idx="341">
                  <c:v>1269.9392934643367</c:v>
                </c:pt>
                <c:pt idx="342">
                  <c:v>1273.3462109632226</c:v>
                </c:pt>
                <c:pt idx="343">
                  <c:v>1276.7501203716972</c:v>
                </c:pt>
                <c:pt idx="344">
                  <c:v>1280.1509270696451</c:v>
                </c:pt>
                <c:pt idx="345">
                  <c:v>1283.548536628469</c:v>
                </c:pt>
                <c:pt idx="346">
                  <c:v>1286.942854811402</c:v>
                </c:pt>
                <c:pt idx="347">
                  <c:v>1290.3337875738002</c:v>
                </c:pt>
                <c:pt idx="348">
                  <c:v>1293.721242236345</c:v>
                </c:pt>
                <c:pt idx="349">
                  <c:v>1297.1051286556749</c:v>
                </c:pt>
                <c:pt idx="350">
                  <c:v>1300.4853580464701</c:v>
                </c:pt>
                <c:pt idx="351">
                  <c:v>1303.8618418060305</c:v>
                </c:pt>
                <c:pt idx="352">
                  <c:v>1307.2344915144035</c:v>
                </c:pt>
                <c:pt idx="353">
                  <c:v>1310.603218934496</c:v>
                </c:pt>
                <c:pt idx="354">
                  <c:v>1313.9679360121679</c:v>
                </c:pt>
                <c:pt idx="355">
                  <c:v>1317.3285548763117</c:v>
                </c:pt>
                <c:pt idx="356">
                  <c:v>1320.6849878389141</c:v>
                </c:pt>
                <c:pt idx="357">
                  <c:v>1324.0371473951029</c:v>
                </c:pt>
                <c:pt idx="358">
                  <c:v>1327.3849462231772</c:v>
                </c:pt>
                <c:pt idx="359">
                  <c:v>1330.7282971846223</c:v>
                </c:pt>
                <c:pt idx="360">
                  <c:v>1334.0671377168794</c:v>
                </c:pt>
                <c:pt idx="361">
                  <c:v>1337.4014541689724</c:v>
                </c:pt>
                <c:pt idx="362">
                  <c:v>1340.7312572950639</c:v>
                </c:pt>
                <c:pt idx="363">
                  <c:v>1344.0565578052745</c:v>
                </c:pt>
                <c:pt idx="364">
                  <c:v>1347.3773663659235</c:v>
                </c:pt>
                <c:pt idx="365">
                  <c:v>1350.693693599771</c:v>
                </c:pt>
                <c:pt idx="366">
                  <c:v>1354.0055500862552</c:v>
                </c:pt>
                <c:pt idx="367">
                  <c:v>1357.3129463617308</c:v>
                </c:pt>
                <c:pt idx="368">
                  <c:v>1360.6158929197045</c:v>
                </c:pt>
                <c:pt idx="369">
                  <c:v>1363.9144002110684</c:v>
                </c:pt>
                <c:pt idx="370">
                  <c:v>1367.2084786443331</c:v>
                </c:pt>
                <c:pt idx="371">
                  <c:v>1370.4981385858584</c:v>
                </c:pt>
                <c:pt idx="372">
                  <c:v>1373.7833903600817</c:v>
                </c:pt>
                <c:pt idx="373">
                  <c:v>1377.0642442497469</c:v>
                </c:pt>
                <c:pt idx="374">
                  <c:v>1380.3407104961293</c:v>
                </c:pt>
                <c:pt idx="375">
                  <c:v>1383.612799299261</c:v>
                </c:pt>
                <c:pt idx="376">
                  <c:v>1386.8805208181534</c:v>
                </c:pt>
                <c:pt idx="377">
                  <c:v>1390.1438851710191</c:v>
                </c:pt>
                <c:pt idx="378">
                  <c:v>1393.4029024354913</c:v>
                </c:pt>
                <c:pt idx="379">
                  <c:v>1396.6575826488429</c:v>
                </c:pt>
                <c:pt idx="380">
                  <c:v>1399.9079358082033</c:v>
                </c:pt>
                <c:pt idx="381">
                  <c:v>1403.1539718707736</c:v>
                </c:pt>
                <c:pt idx="382">
                  <c:v>1406.3957007540409</c:v>
                </c:pt>
                <c:pt idx="383">
                  <c:v>1409.6331323359914</c:v>
                </c:pt>
                <c:pt idx="384">
                  <c:v>1412.8662764553208</c:v>
                </c:pt>
                <c:pt idx="385">
                  <c:v>1416.0951429116442</c:v>
                </c:pt>
                <c:pt idx="386">
                  <c:v>1419.3197414657052</c:v>
                </c:pt>
                <c:pt idx="387">
                  <c:v>1422.5400818395822</c:v>
                </c:pt>
                <c:pt idx="388">
                  <c:v>1425.7561737168937</c:v>
                </c:pt>
                <c:pt idx="389">
                  <c:v>1428.9680267430035</c:v>
                </c:pt>
                <c:pt idx="390">
                  <c:v>1432.1756505252224</c:v>
                </c:pt>
                <c:pt idx="391">
                  <c:v>1435.3790546330106</c:v>
                </c:pt>
                <c:pt idx="392">
                  <c:v>1438.578248598177</c:v>
                </c:pt>
                <c:pt idx="393">
                  <c:v>1441.7732419150786</c:v>
                </c:pt>
                <c:pt idx="394">
                  <c:v>1444.9640440408177</c:v>
                </c:pt>
                <c:pt idx="395">
                  <c:v>1448.1506643954383</c:v>
                </c:pt>
                <c:pt idx="396">
                  <c:v>1451.3331123621206</c:v>
                </c:pt>
                <c:pt idx="397">
                  <c:v>1454.5113972873746</c:v>
                </c:pt>
                <c:pt idx="398">
                  <c:v>1457.6855284812327</c:v>
                </c:pt>
                <c:pt idx="399">
                  <c:v>1460.8555152174406</c:v>
                </c:pt>
                <c:pt idx="400">
                  <c:v>1464.0213667336468</c:v>
                </c:pt>
                <c:pt idx="401">
                  <c:v>1495.45315752755</c:v>
                </c:pt>
                <c:pt idx="402">
                  <c:v>1526.4773408599779</c:v>
                </c:pt>
                <c:pt idx="403">
                  <c:v>1557.1028143335948</c:v>
                </c:pt>
                <c:pt idx="404">
                  <c:v>1587.3381388050127</c:v>
                </c:pt>
                <c:pt idx="405">
                  <c:v>1617.1915553144117</c:v>
                </c:pt>
                <c:pt idx="406">
                  <c:v>1646.6710009525584</c:v>
                </c:pt>
                <c:pt idx="407">
                  <c:v>1675.7841237447863</c:v>
                </c:pt>
                <c:pt idx="408">
                  <c:v>1704.5382966246084</c:v>
                </c:pt>
                <c:pt idx="409">
                  <c:v>1732.9406305634075</c:v>
                </c:pt>
                <c:pt idx="410">
                  <c:v>1760.9979869170302</c:v>
                </c:pt>
                <c:pt idx="411">
                  <c:v>1788.7169890450368</c:v>
                </c:pt>
                <c:pt idx="412">
                  <c:v>1816.1040332537536</c:v>
                </c:pt>
                <c:pt idx="413">
                  <c:v>1843.1652991101125</c:v>
                </c:pt>
                <c:pt idx="414">
                  <c:v>1869.9067591694729</c:v>
                </c:pt>
                <c:pt idx="415">
                  <c:v>1896.334188157188</c:v>
                </c:pt>
                <c:pt idx="416">
                  <c:v>1922.4531716405481</c:v>
                </c:pt>
                <c:pt idx="417">
                  <c:v>1948.269114224885</c:v>
                </c:pt>
                <c:pt idx="418">
                  <c:v>1973.7872473050249</c:v>
                </c:pt>
                <c:pt idx="419">
                  <c:v>1999.0126364009052</c:v>
                </c:pt>
                <c:pt idx="420">
                  <c:v>2023.9501881040073</c:v>
                </c:pt>
                <c:pt idx="421">
                  <c:v>2048.604656659274</c:v>
                </c:pt>
                <c:pt idx="422">
                  <c:v>2072.9806502053639</c:v>
                </c:pt>
                <c:pt idx="423">
                  <c:v>2097.0826366944393</c:v>
                </c:pt>
                <c:pt idx="424">
                  <c:v>2120.9149495111496</c:v>
                </c:pt>
                <c:pt idx="425">
                  <c:v>2144.4817928090802</c:v>
                </c:pt>
                <c:pt idx="426">
                  <c:v>2167.7872465816413</c:v>
                </c:pt>
                <c:pt idx="427">
                  <c:v>2190.8352714831963</c:v>
                </c:pt>
                <c:pt idx="428">
                  <c:v>2213.6297134151255</c:v>
                </c:pt>
                <c:pt idx="429">
                  <c:v>2236.1743078905306</c:v>
                </c:pt>
                <c:pt idx="430">
                  <c:v>2258.4726841903484</c:v>
                </c:pt>
                <c:pt idx="431">
                  <c:v>2280.5283693227893</c:v>
                </c:pt>
                <c:pt idx="432">
                  <c:v>2302.3447917972248</c:v>
                </c:pt>
                <c:pt idx="433">
                  <c:v>2323.9252852229206</c:v>
                </c:pt>
                <c:pt idx="434">
                  <c:v>2345.2730917423305</c:v>
                </c:pt>
                <c:pt idx="435">
                  <c:v>2366.3913653080454</c:v>
                </c:pt>
                <c:pt idx="436">
                  <c:v>2387.2831748119015</c:v>
                </c:pt>
                <c:pt idx="437">
                  <c:v>2407.9515070742295</c:v>
                </c:pt>
                <c:pt idx="438">
                  <c:v>2428.3992697007084</c:v>
                </c:pt>
                <c:pt idx="439">
                  <c:v>2448.6292938138395</c:v>
                </c:pt>
                <c:pt idx="440">
                  <c:v>2468.6443366656113</c:v>
                </c:pt>
                <c:pt idx="441">
                  <c:v>2488.4470841375382</c:v>
                </c:pt>
                <c:pt idx="442">
                  <c:v>2508.0401531338707</c:v>
                </c:pt>
                <c:pt idx="443">
                  <c:v>2527.4260938734333</c:v>
                </c:pt>
                <c:pt idx="444">
                  <c:v>2546.6073920852223</c:v>
                </c:pt>
                <c:pt idx="445">
                  <c:v>2565.5864711125937</c:v>
                </c:pt>
                <c:pt idx="446">
                  <c:v>2584.3656939305843</c:v>
                </c:pt>
                <c:pt idx="447">
                  <c:v>2602.9473650806526</c:v>
                </c:pt>
                <c:pt idx="448">
                  <c:v>2621.3337325268794</c:v>
                </c:pt>
                <c:pt idx="449">
                  <c:v>2639.5269894374314</c:v>
                </c:pt>
                <c:pt idx="450">
                  <c:v>2657.5292758948881</c:v>
                </c:pt>
                <c:pt idx="451">
                  <c:v>2675.3426805388153</c:v>
                </c:pt>
                <c:pt idx="452">
                  <c:v>2692.9692421438008</c:v>
                </c:pt>
                <c:pt idx="453">
                  <c:v>2710.4109511359666</c:v>
                </c:pt>
                <c:pt idx="454">
                  <c:v>2727.6697510508325</c:v>
                </c:pt>
                <c:pt idx="455">
                  <c:v>2744.7475399352288</c:v>
                </c:pt>
                <c:pt idx="456">
                  <c:v>2761.6461716958238</c:v>
                </c:pt>
                <c:pt idx="457">
                  <c:v>2778.3674573966905</c:v>
                </c:pt>
                <c:pt idx="458">
                  <c:v>2794.9131665082105</c:v>
                </c:pt>
                <c:pt idx="459">
                  <c:v>2811.2850281094861</c:v>
                </c:pt>
                <c:pt idx="460">
                  <c:v>2827.4847320463305</c:v>
                </c:pt>
                <c:pt idx="461">
                  <c:v>2843.5139300467845</c:v>
                </c:pt>
                <c:pt idx="462">
                  <c:v>2859.3742367960222</c:v>
                </c:pt>
                <c:pt idx="463">
                  <c:v>2875.0672309723996</c:v>
                </c:pt>
                <c:pt idx="464">
                  <c:v>2890.5944562463246</c:v>
                </c:pt>
                <c:pt idx="465">
                  <c:v>2905.9574222435322</c:v>
                </c:pt>
                <c:pt idx="466">
                  <c:v>2921.1576054742732</c:v>
                </c:pt>
                <c:pt idx="467">
                  <c:v>2936.1964502298565</c:v>
                </c:pt>
                <c:pt idx="468">
                  <c:v>2951.0753694479004</c:v>
                </c:pt>
                <c:pt idx="469">
                  <c:v>2965.7957455475948</c:v>
                </c:pt>
                <c:pt idx="470">
                  <c:v>2980.3589312362119</c:v>
                </c:pt>
                <c:pt idx="471">
                  <c:v>2994.7662502880307</c:v>
                </c:pt>
                <c:pt idx="472">
                  <c:v>3009.0189982968063</c:v>
                </c:pt>
                <c:pt idx="473">
                  <c:v>3023.1184434028391</c:v>
                </c:pt>
                <c:pt idx="474">
                  <c:v>3037.0658269956675</c:v>
                </c:pt>
                <c:pt idx="475">
                  <c:v>3050.8623643933479</c:v>
                </c:pt>
                <c:pt idx="476">
                  <c:v>3064.5092454992459</c:v>
                </c:pt>
                <c:pt idx="477">
                  <c:v>3078.0076354372222</c:v>
                </c:pt>
                <c:pt idx="478">
                  <c:v>3091.3586751660482</c:v>
                </c:pt>
                <c:pt idx="479">
                  <c:v>3104.5634820738587</c:v>
                </c:pt>
                <c:pt idx="480">
                  <c:v>3117.6231505534038</c:v>
                </c:pt>
                <c:pt idx="481">
                  <c:v>3130.5387525588335</c:v>
                </c:pt>
                <c:pt idx="482">
                  <c:v>3143.3113381447124</c:v>
                </c:pt>
                <c:pt idx="483">
                  <c:v>3155.9419359879312</c:v>
                </c:pt>
                <c:pt idx="484">
                  <c:v>3168.4315538931578</c:v>
                </c:pt>
                <c:pt idx="485">
                  <c:v>3180.7811792824318</c:v>
                </c:pt>
                <c:pt idx="486">
                  <c:v>3192.9917796694922</c:v>
                </c:pt>
                <c:pt idx="487">
                  <c:v>3205.0643031193918</c:v>
                </c:pt>
                <c:pt idx="488">
                  <c:v>3216.9996786939378</c:v>
                </c:pt>
                <c:pt idx="489">
                  <c:v>3228.7988168834659</c:v>
                </c:pt>
                <c:pt idx="490">
                  <c:v>3240.46261002544</c:v>
                </c:pt>
                <c:pt idx="491">
                  <c:v>3251.9919327103476</c:v>
                </c:pt>
                <c:pt idx="492">
                  <c:v>3263.3876421753375</c:v>
                </c:pt>
                <c:pt idx="493">
                  <c:v>3274.6505786860353</c:v>
                </c:pt>
                <c:pt idx="494">
                  <c:v>3285.7815659069456</c:v>
                </c:pt>
                <c:pt idx="495">
                  <c:v>3296.7814112608394</c:v>
                </c:pt>
                <c:pt idx="496">
                  <c:v>3307.6509062775044</c:v>
                </c:pt>
                <c:pt idx="497">
                  <c:v>3318.3908269322264</c:v>
                </c:pt>
                <c:pt idx="498">
                  <c:v>3329.001933974348</c:v>
                </c:pt>
                <c:pt idx="499">
                  <c:v>3339.4849732462412</c:v>
                </c:pt>
                <c:pt idx="500">
                  <c:v>3349.8406759930162</c:v>
                </c:pt>
                <c:pt idx="501">
                  <c:v>3360.0697591632779</c:v>
                </c:pt>
                <c:pt idx="502">
                  <c:v>3370.1729257012239</c:v>
                </c:pt>
                <c:pt idx="503">
                  <c:v>3380.150864830372</c:v>
                </c:pt>
                <c:pt idx="504">
                  <c:v>3390.0042523291913</c:v>
                </c:pt>
                <c:pt idx="505">
                  <c:v>3399.7337507988991</c:v>
                </c:pt>
                <c:pt idx="506">
                  <c:v>3409.3400099236815</c:v>
                </c:pt>
                <c:pt idx="507">
                  <c:v>3418.8236667235751</c:v>
                </c:pt>
                <c:pt idx="508">
                  <c:v>3428.185345800252</c:v>
                </c:pt>
                <c:pt idx="509">
                  <c:v>3437.4256595759284</c:v>
                </c:pt>
                <c:pt idx="510">
                  <c:v>3446.545208525617</c:v>
                </c:pt>
                <c:pt idx="511">
                  <c:v>3455.5445814029304</c:v>
                </c:pt>
                <c:pt idx="512">
                  <c:v>3464.4243554596401</c:v>
                </c:pt>
                <c:pt idx="513">
                  <c:v>3473.1850966591815</c:v>
                </c:pt>
                <c:pt idx="514">
                  <c:v>3481.8273598842966</c:v>
                </c:pt>
                <c:pt idx="515">
                  <c:v>3490.35168913899</c:v>
                </c:pt>
                <c:pt idx="516">
                  <c:v>3498.7586177449753</c:v>
                </c:pt>
                <c:pt idx="517">
                  <c:v>3507.0486685327783</c:v>
                </c:pt>
                <c:pt idx="518">
                  <c:v>3515.2223540276586</c:v>
                </c:pt>
                <c:pt idx="519">
                  <c:v>3523.2801766305083</c:v>
                </c:pt>
                <c:pt idx="520">
                  <c:v>3531.2226287938724</c:v>
                </c:pt>
                <c:pt idx="521">
                  <c:v>3539.0501931932458</c:v>
                </c:pt>
                <c:pt idx="522">
                  <c:v>3546.7633428937779</c:v>
                </c:pt>
                <c:pt idx="523">
                  <c:v>3554.362541512528</c:v>
                </c:pt>
                <c:pt idx="524">
                  <c:v>3561.8482433763988</c:v>
                </c:pt>
                <c:pt idx="525">
                  <c:v>3569.2208936758784</c:v>
                </c:pt>
                <c:pt idx="526">
                  <c:v>3576.480928614712</c:v>
                </c:pt>
                <c:pt idx="527">
                  <c:v>3583.6287755556227</c:v>
                </c:pt>
                <c:pt idx="528">
                  <c:v>3590.6648531621991</c:v>
                </c:pt>
                <c:pt idx="529">
                  <c:v>3597.5895715370593</c:v>
                </c:pt>
                <c:pt idx="530">
                  <c:v>3604.4033323564036</c:v>
                </c:pt>
                <c:pt idx="531">
                  <c:v>3611.1065290010588</c:v>
                </c:pt>
                <c:pt idx="532">
                  <c:v>3617.6995466841204</c:v>
                </c:pt>
                <c:pt idx="533">
                  <c:v>3624.1827625752908</c:v>
                </c:pt>
                <c:pt idx="534">
                  <c:v>3630.556545922012</c:v>
                </c:pt>
                <c:pt idx="535">
                  <c:v>3636.8212581674893</c:v>
                </c:pt>
                <c:pt idx="536">
                  <c:v>3642.9772530657006</c:v>
                </c:pt>
                <c:pt idx="537">
                  <c:v>3649.0248767934795</c:v>
                </c:pt>
                <c:pt idx="538">
                  <c:v>3654.9644680597667</c:v>
                </c:pt>
                <c:pt idx="539">
                  <c:v>3660.7963582121151</c:v>
                </c:pt>
                <c:pt idx="540">
                  <c:v>3666.5208713405377</c:v>
                </c:pt>
                <c:pt idx="541">
                  <c:v>3672.1383243787832</c:v>
                </c:pt>
                <c:pt idx="542">
                  <c:v>3677.6490272031265</c:v>
                </c:pt>
                <c:pt idx="543">
                  <c:v>3683.0532827287584</c:v>
                </c:pt>
                <c:pt idx="544">
                  <c:v>3688.3513870038605</c:v>
                </c:pt>
                <c:pt idx="545">
                  <c:v>3693.5436293014454</c:v>
                </c:pt>
                <c:pt idx="546">
                  <c:v>3698.6302922090554</c:v>
                </c:pt>
                <c:pt idx="547">
                  <c:v>3703.6116517163987</c:v>
                </c:pt>
                <c:pt idx="548">
                  <c:v>3708.4879773010152</c:v>
                </c:pt>
                <c:pt idx="549">
                  <c:v>3713.2595320120549</c:v>
                </c:pt>
                <c:pt idx="550">
                  <c:v>3717.9265725522664</c:v>
                </c:pt>
                <c:pt idx="551">
                  <c:v>3722.4893493582827</c:v>
                </c:pt>
                <c:pt idx="552">
                  <c:v>3726.9481066793032</c:v>
                </c:pt>
                <c:pt idx="553">
                  <c:v>3731.3030826542708</c:v>
                </c:pt>
                <c:pt idx="554">
                  <c:v>3735.5545093876462</c:v>
                </c:pt>
                <c:pt idx="555">
                  <c:v>3739.7026130238905</c:v>
                </c:pt>
                <c:pt idx="556">
                  <c:v>3743.7476138207703</c:v>
                </c:pt>
                <c:pt idx="557">
                  <c:v>3747.6897262216025</c:v>
                </c:pt>
                <c:pt idx="558">
                  <c:v>3751.5291589265721</c:v>
                </c:pt>
                <c:pt idx="559">
                  <c:v>3755.2661149632563</c:v>
                </c:pt>
                <c:pt idx="560">
                  <c:v>3758.9007917565023</c:v>
                </c:pt>
                <c:pt idx="561">
                  <c:v>3762.433381197819</c:v>
                </c:pt>
                <c:pt idx="562">
                  <c:v>3765.8640697144488</c:v>
                </c:pt>
                <c:pt idx="563">
                  <c:v>3769.1930383383046</c:v>
                </c:pt>
                <c:pt idx="564">
                  <c:v>3772.4204627749741</c:v>
                </c:pt>
                <c:pt idx="565">
                  <c:v>3775.5465134730043</c:v>
                </c:pt>
                <c:pt idx="566">
                  <c:v>3778.5713556937039</c:v>
                </c:pt>
                <c:pt idx="567">
                  <c:v>3781.4951495817204</c:v>
                </c:pt>
                <c:pt idx="568">
                  <c:v>3784.3180502366736</c:v>
                </c:pt>
                <c:pt idx="569">
                  <c:v>3787.0402077861486</c:v>
                </c:pt>
                <c:pt idx="570">
                  <c:v>3789.661767460384</c:v>
                </c:pt>
                <c:pt idx="571">
                  <c:v>3792.1828696690177</c:v>
                </c:pt>
                <c:pt idx="572">
                  <c:v>3794.6036500802848</c:v>
                </c:pt>
                <c:pt idx="573">
                  <c:v>3796.9242397030962</c:v>
                </c:pt>
                <c:pt idx="574">
                  <c:v>3799.1447649724632</c:v>
                </c:pt>
                <c:pt idx="575">
                  <c:v>3801.2653478387629</c:v>
                </c:pt>
                <c:pt idx="576">
                  <c:v>3803.2861058613817</c:v>
                </c:pt>
                <c:pt idx="577">
                  <c:v>3805.2071523073091</c:v>
                </c:pt>
                <c:pt idx="578">
                  <c:v>3807.0285962552775</c:v>
                </c:pt>
                <c:pt idx="579">
                  <c:v>3808.7505427060837</c:v>
                </c:pt>
                <c:pt idx="580">
                  <c:v>3810.3730926997437</c:v>
                </c:pt>
                <c:pt idx="581">
                  <c:v>3811.8963434401458</c:v>
                </c:pt>
                <c:pt idx="582">
                  <c:v>3813.3203884278728</c:v>
                </c:pt>
                <c:pt idx="583">
                  <c:v>3814.6453176018513</c:v>
                </c:pt>
                <c:pt idx="584">
                  <c:v>3815.8712174904558</c:v>
                </c:pt>
                <c:pt idx="585">
                  <c:v>3816.9981713726424</c:v>
                </c:pt>
                <c:pt idx="586">
                  <c:v>3818.026259449618</c:v>
                </c:pt>
                <c:pt idx="587">
                  <c:v>3818.9555590274394</c:v>
                </c:pt>
                <c:pt idx="588">
                  <c:v>3819.7861447108121</c:v>
                </c:pt>
                <c:pt idx="589">
                  <c:v>3820.5180886081921</c:v>
                </c:pt>
                <c:pt idx="590">
                  <c:v>3821.1514605481052</c:v>
                </c:pt>
                <c:pt idx="591">
                  <c:v>3821.6863283063781</c:v>
                </c:pt>
                <c:pt idx="592">
                  <c:v>3822.1227578437379</c:v>
                </c:pt>
                <c:pt idx="593">
                  <c:v>3822.4608135529875</c:v>
                </c:pt>
                <c:pt idx="594">
                  <c:v>3822.7005585147017</c:v>
                </c:pt>
                <c:pt idx="595">
                  <c:v>3822.8420547601486</c:v>
                </c:pt>
                <c:pt idx="596">
                  <c:v>3822.885363539905</c:v>
                </c:pt>
                <c:pt idx="597">
                  <c:v>3822.8305455964492</c:v>
                </c:pt>
                <c:pt idx="598">
                  <c:v>3822.6776614388555</c:v>
                </c:pt>
                <c:pt idx="599">
                  <c:v>3822.4267716176273</c:v>
                </c:pt>
                <c:pt idx="600">
                  <c:v>3822.0779369976667</c:v>
                </c:pt>
                <c:pt idx="601">
                  <c:v>3821.6312190274039</c:v>
                </c:pt>
                <c:pt idx="602">
                  <c:v>3821.0866800022063</c:v>
                </c:pt>
                <c:pt idx="603">
                  <c:v>3820.4443833203213</c:v>
                </c:pt>
                <c:pt idx="604">
                  <c:v>3819.7043937298045</c:v>
                </c:pt>
                <c:pt idx="605">
                  <c:v>3818.8667775651056</c:v>
                </c:pt>
                <c:pt idx="606">
                  <c:v>3817.9316029722368</c:v>
                </c:pt>
                <c:pt idx="607">
                  <c:v>3816.8989401216963</c:v>
                </c:pt>
                <c:pt idx="608">
                  <c:v>3815.7688614085823</c:v>
                </c:pt>
                <c:pt idx="609">
                  <c:v>3814.5414416395711</c:v>
                </c:pt>
                <c:pt idx="610">
                  <c:v>3813.21675820665</c:v>
                </c:pt>
                <c:pt idx="611">
                  <c:v>3811.7948912477009</c:v>
                </c:pt>
                <c:pt idx="612">
                  <c:v>3810.2759237941832</c:v>
                </c:pt>
                <c:pt idx="613">
                  <c:v>3808.65994190631</c:v>
                </c:pt>
                <c:pt idx="614">
                  <c:v>3806.9470347962115</c:v>
                </c:pt>
                <c:pt idx="615">
                  <c:v>3805.13729493966</c:v>
                </c:pt>
                <c:pt idx="616">
                  <c:v>3803.2308181769818</c:v>
                </c:pt>
                <c:pt idx="617">
                  <c:v>3801.2277038038083</c:v>
                </c:pt>
                <c:pt idx="618">
                  <c:v>3799.1280546523394</c:v>
                </c:pt>
                <c:pt idx="619">
                  <c:v>3796.9319771637806</c:v>
                </c:pt>
                <c:pt idx="620">
                  <c:v>3794.639581452604</c:v>
                </c:pt>
                <c:pt idx="621">
                  <c:v>3792.2509813632614</c:v>
                </c:pt>
                <c:pt idx="622">
                  <c:v>3789.7662945199472</c:v>
                </c:pt>
                <c:pt idx="623">
                  <c:v>3787.185642369971</c:v>
                </c:pt>
                <c:pt idx="624">
                  <c:v>3784.5091502212717</c:v>
                </c:pt>
                <c:pt idx="625">
                  <c:v>3781.736947274559</c:v>
                </c:pt>
                <c:pt idx="626">
                  <c:v>3778.8691666505351</c:v>
                </c:pt>
                <c:pt idx="627">
                  <c:v>3775.9059454126145</c:v>
                </c:pt>
                <c:pt idx="628">
                  <c:v>3772.8474245855214</c:v>
                </c:pt>
                <c:pt idx="629">
                  <c:v>3769.6937491701087</c:v>
                </c:pt>
                <c:pt idx="630">
                  <c:v>3766.4450681547232</c:v>
                </c:pt>
                <c:pt idx="631">
                  <c:v>3763.1015345233927</c:v>
                </c:pt>
                <c:pt idx="632">
                  <c:v>3759.6633052611051</c:v>
                </c:pt>
                <c:pt idx="633">
                  <c:v>3756.1305413564082</c:v>
                </c:pt>
                <c:pt idx="634">
                  <c:v>3752.5034078015478</c:v>
                </c:pt>
                <c:pt idx="635">
                  <c:v>3748.782073590331</c:v>
                </c:pt>
                <c:pt idx="636">
                  <c:v>3744.9667117138952</c:v>
                </c:pt>
                <c:pt idx="637">
                  <c:v>3741.0574991545313</c:v>
                </c:pt>
                <c:pt idx="638">
                  <c:v>3737.0546168777109</c:v>
                </c:pt>
                <c:pt idx="639">
                  <c:v>3732.9582498224386</c:v>
                </c:pt>
                <c:pt idx="640">
                  <c:v>3728.7685868900494</c:v>
                </c:pt>
                <c:pt idx="641">
                  <c:v>3724.4858209315544</c:v>
                </c:pt>
                <c:pt idx="642">
                  <c:v>3720.1101487336264</c:v>
                </c:pt>
                <c:pt idx="643">
                  <c:v>3715.641771003317</c:v>
                </c:pt>
                <c:pt idx="644">
                  <c:v>3711.0808923515774</c:v>
                </c:pt>
                <c:pt idx="645">
                  <c:v>3706.4277212756547</c:v>
                </c:pt>
                <c:pt idx="646">
                  <c:v>3701.6824701404321</c:v>
                </c:pt>
                <c:pt idx="647">
                  <c:v>3696.8453551587645</c:v>
                </c:pt>
                <c:pt idx="648">
                  <c:v>3691.9165963708679</c:v>
                </c:pt>
                <c:pt idx="649">
                  <c:v>3686.8964176228096</c:v>
                </c:pt>
                <c:pt idx="650">
                  <c:v>3681.7850465441452</c:v>
                </c:pt>
                <c:pt idx="651">
                  <c:v>3676.582714524739</c:v>
                </c:pt>
                <c:pt idx="652">
                  <c:v>3671.2896566908121</c:v>
                </c:pt>
                <c:pt idx="653">
                  <c:v>3665.9061118802488</c:v>
                </c:pt>
                <c:pt idx="654">
                  <c:v>3660.4323226171919</c:v>
                </c:pt>
                <c:pt idx="655">
                  <c:v>3654.8685350859619</c:v>
                </c:pt>
                <c:pt idx="656">
                  <c:v>3649.2149991043225</c:v>
                </c:pt>
                <c:pt idx="657">
                  <c:v>3643.4719680961225</c:v>
                </c:pt>
                <c:pt idx="658">
                  <c:v>3637.639699063333</c:v>
                </c:pt>
                <c:pt idx="659">
                  <c:v>3631.7184525575085</c:v>
                </c:pt>
                <c:pt idx="660">
                  <c:v>3625.7084926506873</c:v>
                </c:pt>
                <c:pt idx="661">
                  <c:v>3619.6100869057555</c:v>
                </c:pt>
                <c:pt idx="662">
                  <c:v>3613.4235063462893</c:v>
                </c:pt>
                <c:pt idx="663">
                  <c:v>3607.1490254258988</c:v>
                </c:pt>
                <c:pt idx="664">
                  <c:v>3600.7869219970826</c:v>
                </c:pt>
                <c:pt idx="665">
                  <c:v>3594.3374772796174</c:v>
                </c:pt>
                <c:pt idx="666">
                  <c:v>3587.8009758284916</c:v>
                </c:pt>
                <c:pt idx="667">
                  <c:v>3581.1777055014009</c:v>
                </c:pt>
                <c:pt idx="668">
                  <c:v>3574.4679574258184</c:v>
                </c:pt>
                <c:pt idx="669">
                  <c:v>3567.672025965654</c:v>
                </c:pt>
                <c:pt idx="670">
                  <c:v>3560.7902086875147</c:v>
                </c:pt>
                <c:pt idx="671">
                  <c:v>3553.8228063265801</c:v>
                </c:pt>
                <c:pt idx="672">
                  <c:v>3546.7701227521038</c:v>
                </c:pt>
                <c:pt idx="673">
                  <c:v>3539.6324649325525</c:v>
                </c:pt>
                <c:pt idx="674">
                  <c:v>3532.4101429003963</c:v>
                </c:pt>
                <c:pt idx="675">
                  <c:v>3525.1034697165587</c:v>
                </c:pt>
                <c:pt idx="676">
                  <c:v>3517.7127614345395</c:v>
                </c:pt>
                <c:pt idx="677">
                  <c:v>3510.2383370642206</c:v>
                </c:pt>
                <c:pt idx="678">
                  <c:v>3502.6805185353637</c:v>
                </c:pt>
                <c:pt idx="679">
                  <c:v>3495.0396306608131</c:v>
                </c:pt>
                <c:pt idx="680">
                  <c:v>3487.316001099412</c:v>
                </c:pt>
                <c:pt idx="681">
                  <c:v>3479.5099603186409</c:v>
                </c:pt>
                <c:pt idx="682">
                  <c:v>3471.621841556992</c:v>
                </c:pt>
                <c:pt idx="683">
                  <c:v>3463.651980786085</c:v>
                </c:pt>
                <c:pt idx="684">
                  <c:v>3455.6007166725358</c:v>
                </c:pt>
                <c:pt idx="685">
                  <c:v>3447.4683905395877</c:v>
                </c:pt>
                <c:pt idx="686">
                  <c:v>3439.2553463285144</c:v>
                </c:pt>
                <c:pt idx="687">
                  <c:v>3430.9619305598035</c:v>
                </c:pt>
                <c:pt idx="688">
                  <c:v>3422.5884922941291</c:v>
                </c:pt>
                <c:pt idx="689">
                  <c:v>3414.1353830931253</c:v>
                </c:pt>
                <c:pt idx="690">
                  <c:v>3405.6029569799653</c:v>
                </c:pt>
                <c:pt idx="691">
                  <c:v>3396.9915703997594</c:v>
                </c:pt>
                <c:pt idx="692">
                  <c:v>3388.3015821797767</c:v>
                </c:pt>
                <c:pt idx="693">
                  <c:v>3379.533353489504</c:v>
                </c:pt>
                <c:pt idx="694">
                  <c:v>3370.6872478005453</c:v>
                </c:pt>
                <c:pt idx="695">
                  <c:v>3361.7636308463743</c:v>
                </c:pt>
                <c:pt idx="696">
                  <c:v>3352.7628705819475</c:v>
                </c:pt>
                <c:pt idx="697">
                  <c:v>3343.6853371431871</c:v>
                </c:pt>
                <c:pt idx="698">
                  <c:v>3334.5314028063394</c:v>
                </c:pt>
                <c:pt idx="699">
                  <c:v>3325.3014419472211</c:v>
                </c:pt>
                <c:pt idx="700">
                  <c:v>3315.9958310003594</c:v>
                </c:pt>
                <c:pt idx="701">
                  <c:v>3306.6149484180346</c:v>
                </c:pt>
                <c:pt idx="702">
                  <c:v>3297.1591746292343</c:v>
                </c:pt>
                <c:pt idx="703">
                  <c:v>3287.6288919985268</c:v>
                </c:pt>
                <c:pt idx="704">
                  <c:v>3278.0244847848626</c:v>
                </c:pt>
                <c:pt idx="705">
                  <c:v>3268.3463391003102</c:v>
                </c:pt>
                <c:pt idx="706">
                  <c:v>3258.5948428687375</c:v>
                </c:pt>
                <c:pt idx="707">
                  <c:v>3248.7703857844449</c:v>
                </c:pt>
                <c:pt idx="708">
                  <c:v>3238.8733592707572</c:v>
                </c:pt>
                <c:pt idx="709">
                  <c:v>3228.9041564385843</c:v>
                </c:pt>
                <c:pt idx="710">
                  <c:v>3218.8631720449594</c:v>
                </c:pt>
                <c:pt idx="711">
                  <c:v>3208.7508024515578</c:v>
                </c:pt>
                <c:pt idx="712">
                  <c:v>3198.5674455832109</c:v>
                </c:pt>
                <c:pt idx="713">
                  <c:v>3188.3135008864165</c:v>
                </c:pt>
                <c:pt idx="714">
                  <c:v>3177.9893692878591</c:v>
                </c:pt>
                <c:pt idx="715">
                  <c:v>3167.5954531529433</c:v>
                </c:pt>
                <c:pt idx="716">
                  <c:v>3157.1321562443504</c:v>
                </c:pt>
                <c:pt idx="717">
                  <c:v>3146.5998836806257</c:v>
                </c:pt>
                <c:pt idx="718">
                  <c:v>3135.9990418948018</c:v>
                </c:pt>
                <c:pt idx="719">
                  <c:v>3125.3300385930702</c:v>
                </c:pt>
                <c:pt idx="720">
                  <c:v>3114.5932827135007</c:v>
                </c:pt>
                <c:pt idx="721">
                  <c:v>3103.7891843848265</c:v>
                </c:pt>
                <c:pt idx="722">
                  <c:v>3092.9181548852912</c:v>
                </c:pt>
                <c:pt idx="723">
                  <c:v>3081.9806066015735</c:v>
                </c:pt>
                <c:pt idx="724">
                  <c:v>3070.9769529877926</c:v>
                </c:pt>
                <c:pt idx="725">
                  <c:v>3059.9076085246024</c:v>
                </c:pt>
                <c:pt idx="726">
                  <c:v>3048.7729886783814</c:v>
                </c:pt>
                <c:pt idx="727">
                  <c:v>3037.5735098605246</c:v>
                </c:pt>
                <c:pt idx="728">
                  <c:v>3026.3095893868472</c:v>
                </c:pt>
                <c:pt idx="729">
                  <c:v>3014.9816454371016</c:v>
                </c:pt>
                <c:pt idx="730">
                  <c:v>3003.5900970146213</c:v>
                </c:pt>
                <c:pt idx="731">
                  <c:v>2992.1353639060908</c:v>
                </c:pt>
                <c:pt idx="732">
                  <c:v>2980.6178666414557</c:v>
                </c:pt>
                <c:pt idx="733">
                  <c:v>2969.0380264539731</c:v>
                </c:pt>
                <c:pt idx="734">
                  <c:v>2957.3962652404134</c:v>
                </c:pt>
                <c:pt idx="735">
                  <c:v>2945.693005521417</c:v>
                </c:pt>
                <c:pt idx="736">
                  <c:v>2933.9286704020137</c:v>
                </c:pt>
                <c:pt idx="737">
                  <c:v>2922.1036835323098</c:v>
                </c:pt>
                <c:pt idx="738">
                  <c:v>2910.2184690683512</c:v>
                </c:pt>
                <c:pt idx="739">
                  <c:v>2898.2734516331657</c:v>
                </c:pt>
                <c:pt idx="740">
                  <c:v>2886.2690562779931</c:v>
                </c:pt>
                <c:pt idx="741">
                  <c:v>2874.205708443707</c:v>
                </c:pt>
                <c:pt idx="742">
                  <c:v>2862.0838339224356</c:v>
                </c:pt>
                <c:pt idx="743">
                  <c:v>2849.9038588193862</c:v>
                </c:pt>
                <c:pt idx="744">
                  <c:v>2837.666209514879</c:v>
                </c:pt>
                <c:pt idx="745">
                  <c:v>2825.3713126265975</c:v>
                </c:pt>
                <c:pt idx="746">
                  <c:v>2813.0195949720578</c:v>
                </c:pt>
                <c:pt idx="747">
                  <c:v>2800.6114835313051</c:v>
                </c:pt>
                <c:pt idx="748">
                  <c:v>2788.1474054098412</c:v>
                </c:pt>
                <c:pt idx="749">
                  <c:v>2775.6277878017881</c:v>
                </c:pt>
                <c:pt idx="750">
                  <c:v>2763.0530579532947</c:v>
                </c:pt>
                <c:pt idx="751">
                  <c:v>2750.423643126187</c:v>
                </c:pt>
                <c:pt idx="752">
                  <c:v>2737.7399705618736</c:v>
                </c:pt>
                <c:pt idx="753">
                  <c:v>2725.0024674455035</c:v>
                </c:pt>
                <c:pt idx="754">
                  <c:v>2712.2115608703884</c:v>
                </c:pt>
                <c:pt idx="755">
                  <c:v>2699.3676778026879</c:v>
                </c:pt>
                <c:pt idx="756">
                  <c:v>2686.4712450463653</c:v>
                </c:pt>
                <c:pt idx="757">
                  <c:v>2673.5226892084183</c:v>
                </c:pt>
                <c:pt idx="758">
                  <c:v>2660.5224366643888</c:v>
                </c:pt>
                <c:pt idx="759">
                  <c:v>2647.4709135241537</c:v>
                </c:pt>
                <c:pt idx="760">
                  <c:v>2634.3685455980044</c:v>
                </c:pt>
                <c:pt idx="761">
                  <c:v>2621.2157583630164</c:v>
                </c:pt>
                <c:pt idx="762">
                  <c:v>2608.012976929715</c:v>
                </c:pt>
                <c:pt idx="763">
                  <c:v>2594.7606260090374</c:v>
                </c:pt>
                <c:pt idx="764">
                  <c:v>2581.459129879599</c:v>
                </c:pt>
                <c:pt idx="765">
                  <c:v>2568.1089123552642</c:v>
                </c:pt>
                <c:pt idx="766">
                  <c:v>2554.7103967530279</c:v>
                </c:pt>
                <c:pt idx="767">
                  <c:v>2541.2640058612096</c:v>
                </c:pt>
                <c:pt idx="768">
                  <c:v>2527.7701619079612</c:v>
                </c:pt>
                <c:pt idx="769">
                  <c:v>2514.2292865300969</c:v>
                </c:pt>
                <c:pt idx="770">
                  <c:v>2500.6418007422444</c:v>
                </c:pt>
                <c:pt idx="771">
                  <c:v>2487.0081249063201</c:v>
                </c:pt>
                <c:pt idx="772">
                  <c:v>2473.328678701333</c:v>
                </c:pt>
                <c:pt idx="773">
                  <c:v>2459.6038810935211</c:v>
                </c:pt>
                <c:pt idx="774">
                  <c:v>2445.8341503068182</c:v>
                </c:pt>
                <c:pt idx="775">
                  <c:v>2432.0199037936577</c:v>
                </c:pt>
                <c:pt idx="776">
                  <c:v>2418.1615582061163</c:v>
                </c:pt>
                <c:pt idx="777">
                  <c:v>2404.2595293673967</c:v>
                </c:pt>
                <c:pt idx="778">
                  <c:v>2390.3142322436538</c:v>
                </c:pt>
                <c:pt idx="779">
                  <c:v>2376.3260809161657</c:v>
                </c:pt>
                <c:pt idx="780">
                  <c:v>2362.2954885538516</c:v>
                </c:pt>
                <c:pt idx="781">
                  <c:v>2348.2228673861396</c:v>
                </c:pt>
                <c:pt idx="782">
                  <c:v>2334.1086286761843</c:v>
                </c:pt>
                <c:pt idx="783">
                  <c:v>2319.9531826944371</c:v>
                </c:pt>
                <c:pt idx="784">
                  <c:v>2305.7569386925716</c:v>
                </c:pt>
                <c:pt idx="785">
                  <c:v>2291.5203048777621</c:v>
                </c:pt>
                <c:pt idx="786">
                  <c:v>2277.2436883873224</c:v>
                </c:pt>
                <c:pt idx="787">
                  <c:v>2262.9274952637006</c:v>
                </c:pt>
                <c:pt idx="788">
                  <c:v>2248.5721304298336</c:v>
                </c:pt>
                <c:pt idx="789">
                  <c:v>2234.1779976648641</c:v>
                </c:pt>
                <c:pt idx="790">
                  <c:v>2219.7454995802159</c:v>
                </c:pt>
                <c:pt idx="791">
                  <c:v>2205.2750375960363</c:v>
                </c:pt>
                <c:pt idx="792">
                  <c:v>2190.7670119179966</c:v>
                </c:pt>
                <c:pt idx="793">
                  <c:v>2176.2218215144608</c:v>
                </c:pt>
                <c:pt idx="794">
                  <c:v>2161.6398640940183</c:v>
                </c:pt>
                <c:pt idx="795">
                  <c:v>2147.0215360833795</c:v>
                </c:pt>
                <c:pt idx="796">
                  <c:v>2132.3672326056399</c:v>
                </c:pt>
                <c:pt idx="797">
                  <c:v>2117.6773474589081</c:v>
                </c:pt>
                <c:pt idx="798">
                  <c:v>2102.9522730953017</c:v>
                </c:pt>
                <c:pt idx="799">
                  <c:v>2088.1924006003092</c:v>
                </c:pt>
                <c:pt idx="800">
                  <c:v>2073.3981196725172</c:v>
                </c:pt>
                <c:pt idx="801">
                  <c:v>2058.5698186037052</c:v>
                </c:pt>
                <c:pt idx="802">
                  <c:v>2043.7078842593069</c:v>
                </c:pt>
                <c:pt idx="803">
                  <c:v>2028.8127020592367</c:v>
                </c:pt>
                <c:pt idx="804">
                  <c:v>2013.8846559590836</c:v>
                </c:pt>
                <c:pt idx="805">
                  <c:v>1998.9241284316686</c:v>
                </c:pt>
                <c:pt idx="806">
                  <c:v>1983.9315004489688</c:v>
                </c:pt>
                <c:pt idx="807">
                  <c:v>1968.9071514644052</c:v>
                </c:pt>
                <c:pt idx="808">
                  <c:v>1953.8514593954947</c:v>
                </c:pt>
                <c:pt idx="809">
                  <c:v>1938.7648006068653</c:v>
                </c:pt>
                <c:pt idx="810">
                  <c:v>1923.6475498936334</c:v>
                </c:pt>
                <c:pt idx="811">
                  <c:v>1908.5000804651434</c:v>
                </c:pt>
                <c:pt idx="812">
                  <c:v>1893.3227639290667</c:v>
                </c:pt>
                <c:pt idx="813">
                  <c:v>1878.1159702758619</c:v>
                </c:pt>
                <c:pt idx="814">
                  <c:v>1862.8800678635916</c:v>
                </c:pt>
                <c:pt idx="815">
                  <c:v>1847.6154234030987</c:v>
                </c:pt>
                <c:pt idx="816">
                  <c:v>1832.3224019435374</c:v>
                </c:pt>
                <c:pt idx="817">
                  <c:v>1817.0013668582592</c:v>
                </c:pt>
                <c:pt idx="818">
                  <c:v>1801.6526798310529</c:v>
                </c:pt>
                <c:pt idx="819">
                  <c:v>1786.2767008427363</c:v>
                </c:pt>
                <c:pt idx="820">
                  <c:v>1770.8737881580983</c:v>
                </c:pt>
                <c:pt idx="821">
                  <c:v>1755.4442983131898</c:v>
                </c:pt>
                <c:pt idx="822">
                  <c:v>1739.9885861029632</c:v>
                </c:pt>
                <c:pt idx="823">
                  <c:v>1724.5070045692551</c:v>
                </c:pt>
                <c:pt idx="824">
                  <c:v>1708.9999049891153</c:v>
                </c:pt>
                <c:pt idx="825">
                  <c:v>1693.4676368634762</c:v>
                </c:pt>
                <c:pt idx="826">
                  <c:v>1677.9105479061632</c:v>
                </c:pt>
                <c:pt idx="827">
                  <c:v>1662.3289840332423</c:v>
                </c:pt>
                <c:pt idx="828">
                  <c:v>1646.7232893527053</c:v>
                </c:pt>
                <c:pt idx="829">
                  <c:v>1631.0938061544878</c:v>
                </c:pt>
                <c:pt idx="830">
                  <c:v>1615.4408749008201</c:v>
                </c:pt>
                <c:pt idx="831">
                  <c:v>1599.7648342169073</c:v>
                </c:pt>
                <c:pt idx="832">
                  <c:v>1584.0660208819377</c:v>
                </c:pt>
                <c:pt idx="833">
                  <c:v>1568.3447698204159</c:v>
                </c:pt>
                <c:pt idx="834">
                  <c:v>1552.6014140938198</c:v>
                </c:pt>
                <c:pt idx="835">
                  <c:v>1536.8362848925776</c:v>
                </c:pt>
                <c:pt idx="836">
                  <c:v>1521.0497115283633</c:v>
                </c:pt>
                <c:pt idx="837">
                  <c:v>1505.2420214267086</c:v>
                </c:pt>
                <c:pt idx="838">
                  <c:v>1489.4135401199269</c:v>
                </c:pt>
                <c:pt idx="839">
                  <c:v>1473.5645912403497</c:v>
                </c:pt>
                <c:pt idx="840">
                  <c:v>1457.6954965138707</c:v>
                </c:pt>
                <c:pt idx="841">
                  <c:v>1441.8065757537947</c:v>
                </c:pt>
                <c:pt idx="842">
                  <c:v>1425.8981468549907</c:v>
                </c:pt>
                <c:pt idx="843">
                  <c:v>1409.970525788345</c:v>
                </c:pt>
                <c:pt idx="844">
                  <c:v>1394.0240265955113</c:v>
                </c:pt>
                <c:pt idx="845">
                  <c:v>1378.0589613839566</c:v>
                </c:pt>
                <c:pt idx="846">
                  <c:v>1362.0756403222986</c:v>
                </c:pt>
                <c:pt idx="847">
                  <c:v>1346.0743716359325</c:v>
                </c:pt>
                <c:pt idx="848">
                  <c:v>1330.0554616029442</c:v>
                </c:pt>
                <c:pt idx="849">
                  <c:v>1314.019214550307</c:v>
                </c:pt>
                <c:pt idx="850">
                  <c:v>1297.965932850359</c:v>
                </c:pt>
                <c:pt idx="851">
                  <c:v>1281.895916917558</c:v>
                </c:pt>
                <c:pt idx="852">
                  <c:v>1265.809465205512</c:v>
                </c:pt>
                <c:pt idx="853">
                  <c:v>1249.7068742042798</c:v>
                </c:pt>
                <c:pt idx="854">
                  <c:v>1233.5884384379424</c:v>
                </c:pt>
                <c:pt idx="855">
                  <c:v>1217.4544504624389</c:v>
                </c:pt>
                <c:pt idx="856">
                  <c:v>1201.305200863665</c:v>
                </c:pt>
                <c:pt idx="857">
                  <c:v>1185.1409782558321</c:v>
                </c:pt>
                <c:pt idx="858">
                  <c:v>1168.9620692800822</c:v>
                </c:pt>
                <c:pt idx="859">
                  <c:v>1152.7687586033569</c:v>
                </c:pt>
                <c:pt idx="860">
                  <c:v>1136.5613289175164</c:v>
                </c:pt>
                <c:pt idx="861">
                  <c:v>1120.3400609387063</c:v>
                </c:pt>
                <c:pt idx="862">
                  <c:v>1104.1052334069673</c:v>
                </c:pt>
                <c:pt idx="863">
                  <c:v>1087.8571230860878</c:v>
                </c:pt>
                <c:pt idx="864">
                  <c:v>1071.5960047636929</c:v>
                </c:pt>
                <c:pt idx="865">
                  <c:v>1055.3221512515688</c:v>
                </c:pt>
                <c:pt idx="866">
                  <c:v>1039.0358333862187</c:v>
                </c:pt>
                <c:pt idx="867">
                  <c:v>1022.7373200296464</c:v>
                </c:pt>
                <c:pt idx="868">
                  <c:v>1006.4268780703667</c:v>
                </c:pt>
                <c:pt idx="869">
                  <c:v>990.10477242463571</c:v>
                </c:pt>
                <c:pt idx="870">
                  <c:v>973.77126603790157</c:v>
                </c:pt>
                <c:pt idx="871">
                  <c:v>957.42661988647012</c:v>
                </c:pt>
                <c:pt idx="872">
                  <c:v>941.07109297938314</c:v>
                </c:pt>
                <c:pt idx="873">
                  <c:v>924.70494236050592</c:v>
                </c:pt>
                <c:pt idx="874">
                  <c:v>908.32842311082072</c:v>
                </c:pt>
                <c:pt idx="875">
                  <c:v>891.94178835092305</c:v>
                </c:pt>
                <c:pt idx="876">
                  <c:v>875.54528924371789</c:v>
                </c:pt>
                <c:pt idx="877">
                  <c:v>859.1391749973119</c:v>
                </c:pt>
                <c:pt idx="878">
                  <c:v>842.72369286809942</c:v>
                </c:pt>
                <c:pt idx="879">
                  <c:v>826.29908816403827</c:v>
                </c:pt>
                <c:pt idx="880">
                  <c:v>809.8656042481125</c:v>
                </c:pt>
                <c:pt idx="881">
                  <c:v>793.42348254197918</c:v>
                </c:pt>
                <c:pt idx="882">
                  <c:v>776.97296252979504</c:v>
                </c:pt>
                <c:pt idx="883">
                  <c:v>760.51428176222169</c:v>
                </c:pt>
                <c:pt idx="884">
                  <c:v>744.04767586060404</c:v>
                </c:pt>
                <c:pt idx="885">
                  <c:v>727.57337852132059</c:v>
                </c:pt>
                <c:pt idx="886">
                  <c:v>711.09162152030137</c:v>
                </c:pt>
                <c:pt idx="887">
                  <c:v>694.60263471771111</c:v>
                </c:pt>
                <c:pt idx="888">
                  <c:v>678.10664606279386</c:v>
                </c:pt>
                <c:pt idx="889">
                  <c:v>661.60388159887657</c:v>
                </c:pt>
                <c:pt idx="890">
                  <c:v>645.09456546852857</c:v>
                </c:pt>
                <c:pt idx="891">
                  <c:v>628.578919918873</c:v>
                </c:pt>
                <c:pt idx="892">
                  <c:v>612.05716530704842</c:v>
                </c:pt>
                <c:pt idx="893">
                  <c:v>595.52952010581635</c:v>
                </c:pt>
                <c:pt idx="894">
                  <c:v>578.99620090931285</c:v>
                </c:pt>
                <c:pt idx="895">
                  <c:v>562.45742243894017</c:v>
                </c:pt>
                <c:pt idx="896">
                  <c:v>545.91339754939611</c:v>
                </c:pt>
                <c:pt idx="897">
                  <c:v>529.36433723483799</c:v>
                </c:pt>
                <c:pt idx="898">
                  <c:v>512.81045063517763</c:v>
                </c:pt>
                <c:pt idx="899">
                  <c:v>496.25194504250595</c:v>
                </c:pt>
                <c:pt idx="900">
                  <c:v>479.68902590764236</c:v>
                </c:pt>
                <c:pt idx="901">
                  <c:v>463.12189684680766</c:v>
                </c:pt>
                <c:pt idx="902">
                  <c:v>446.55075964841649</c:v>
                </c:pt>
                <c:pt idx="903">
                  <c:v>429.97581427998722</c:v>
                </c:pt>
                <c:pt idx="904">
                  <c:v>413.39725889516575</c:v>
                </c:pt>
                <c:pt idx="905">
                  <c:v>396.81528984086123</c:v>
                </c:pt>
                <c:pt idx="906">
                  <c:v>380.23010166449006</c:v>
                </c:pt>
                <c:pt idx="907">
                  <c:v>363.64188712132614</c:v>
                </c:pt>
                <c:pt idx="908">
                  <c:v>347.05083718195402</c:v>
                </c:pt>
                <c:pt idx="909">
                  <c:v>330.45714103982272</c:v>
                </c:pt>
                <c:pt idx="910">
                  <c:v>313.86098611889707</c:v>
                </c:pt>
                <c:pt idx="911">
                  <c:v>297.26255808140451</c:v>
                </c:pt>
                <c:pt idx="912">
                  <c:v>280.66204083567379</c:v>
                </c:pt>
                <c:pt idx="913">
                  <c:v>264.059616544064</c:v>
                </c:pt>
                <c:pt idx="914">
                  <c:v>247.45546563098048</c:v>
                </c:pt>
                <c:pt idx="915">
                  <c:v>230.84976679097537</c:v>
                </c:pt>
                <c:pt idx="916">
                  <c:v>214.24269699693036</c:v>
                </c:pt>
                <c:pt idx="917">
                  <c:v>197.6344315083189</c:v>
                </c:pt>
                <c:pt idx="918">
                  <c:v>181.02514387954545</c:v>
                </c:pt>
                <c:pt idx="919">
                  <c:v>164.41500596835928</c:v>
                </c:pt>
                <c:pt idx="920">
                  <c:v>147.80418794434044</c:v>
                </c:pt>
                <c:pt idx="921">
                  <c:v>131.19285829745533</c:v>
                </c:pt>
                <c:pt idx="922">
                  <c:v>114.58118384667965</c:v>
                </c:pt>
                <c:pt idx="923">
                  <c:v>97.969329748686206</c:v>
                </c:pt>
                <c:pt idx="924">
                  <c:v>81.357459506595305</c:v>
                </c:pt>
                <c:pt idx="925">
                  <c:v>64.745734978785379</c:v>
                </c:pt>
                <c:pt idx="926">
                  <c:v>48.134316387761601</c:v>
                </c:pt>
                <c:pt idx="927">
                  <c:v>31.523362329080197</c:v>
                </c:pt>
                <c:pt idx="928">
                  <c:v>14.913029780326177</c:v>
                </c:pt>
                <c:pt idx="929">
                  <c:v>-1.696525889857643</c:v>
                </c:pt>
                <c:pt idx="930">
                  <c:v>-1.7131350179433664</c:v>
                </c:pt>
                <c:pt idx="931">
                  <c:v>-1.7297441450218813</c:v>
                </c:pt>
                <c:pt idx="932">
                  <c:v>-1.7463532710930365</c:v>
                </c:pt>
                <c:pt idx="933">
                  <c:v>-1.7629623961566805</c:v>
                </c:pt>
                <c:pt idx="934">
                  <c:v>-1.7795715202126621</c:v>
                </c:pt>
                <c:pt idx="935">
                  <c:v>-1.79618064326083</c:v>
                </c:pt>
                <c:pt idx="936">
                  <c:v>-1.8127897653010332</c:v>
                </c:pt>
                <c:pt idx="937">
                  <c:v>-1.8293988863331203</c:v>
                </c:pt>
                <c:pt idx="938">
                  <c:v>-1.84600800635694</c:v>
                </c:pt>
                <c:pt idx="939">
                  <c:v>-1.8626171253723409</c:v>
                </c:pt>
                <c:pt idx="940">
                  <c:v>-1.879226243379172</c:v>
                </c:pt>
                <c:pt idx="941">
                  <c:v>-1.8958353603772817</c:v>
                </c:pt>
                <c:pt idx="942">
                  <c:v>-1.9124444763665192</c:v>
                </c:pt>
                <c:pt idx="943">
                  <c:v>-1.9290535913467328</c:v>
                </c:pt>
                <c:pt idx="944">
                  <c:v>-1.9456627053177715</c:v>
                </c:pt>
                <c:pt idx="945">
                  <c:v>-1.962271818279484</c:v>
                </c:pt>
                <c:pt idx="946">
                  <c:v>-1.9788809302317192</c:v>
                </c:pt>
                <c:pt idx="947">
                  <c:v>-1.9954900411743257</c:v>
                </c:pt>
                <c:pt idx="948">
                  <c:v>-2.0120991511071522</c:v>
                </c:pt>
                <c:pt idx="949">
                  <c:v>-2.0287082600300477</c:v>
                </c:pt>
                <c:pt idx="950">
                  <c:v>-2.0453173679428605</c:v>
                </c:pt>
                <c:pt idx="951">
                  <c:v>-2.06192647484544</c:v>
                </c:pt>
                <c:pt idx="952">
                  <c:v>-2.0785355807376344</c:v>
                </c:pt>
                <c:pt idx="953">
                  <c:v>-2.0951446856192928</c:v>
                </c:pt>
                <c:pt idx="954">
                  <c:v>-2.1117537894902636</c:v>
                </c:pt>
                <c:pt idx="955">
                  <c:v>-2.1283628923503959</c:v>
                </c:pt>
                <c:pt idx="956">
                  <c:v>-2.1449719941995382</c:v>
                </c:pt>
                <c:pt idx="957">
                  <c:v>-2.1615810950375396</c:v>
                </c:pt>
                <c:pt idx="958">
                  <c:v>-2.1781901948642486</c:v>
                </c:pt>
                <c:pt idx="959">
                  <c:v>-2.1947992936795142</c:v>
                </c:pt>
                <c:pt idx="960">
                  <c:v>-2.211408391483185</c:v>
                </c:pt>
                <c:pt idx="961">
                  <c:v>-2.22801748827511</c:v>
                </c:pt>
                <c:pt idx="962">
                  <c:v>-2.2446265840551378</c:v>
                </c:pt>
                <c:pt idx="963">
                  <c:v>-2.2612356788231169</c:v>
                </c:pt>
                <c:pt idx="964">
                  <c:v>-2.2778447725788964</c:v>
                </c:pt>
                <c:pt idx="965">
                  <c:v>-2.2944538653223252</c:v>
                </c:pt>
                <c:pt idx="966">
                  <c:v>-2.3110629570532519</c:v>
                </c:pt>
                <c:pt idx="967">
                  <c:v>-2.3276720477715256</c:v>
                </c:pt>
                <c:pt idx="968">
                  <c:v>-2.3442811374769947</c:v>
                </c:pt>
                <c:pt idx="969">
                  <c:v>-2.3608902261695079</c:v>
                </c:pt>
                <c:pt idx="970">
                  <c:v>-2.3774993138489142</c:v>
                </c:pt>
                <c:pt idx="971">
                  <c:v>-2.3941084005150626</c:v>
                </c:pt>
                <c:pt idx="972">
                  <c:v>-2.4107174861678016</c:v>
                </c:pt>
                <c:pt idx="973">
                  <c:v>-2.4273265708069798</c:v>
                </c:pt>
                <c:pt idx="974">
                  <c:v>-2.4439356544324462</c:v>
                </c:pt>
                <c:pt idx="975">
                  <c:v>-2.4605447370440499</c:v>
                </c:pt>
                <c:pt idx="976">
                  <c:v>-2.4771538186416393</c:v>
                </c:pt>
                <c:pt idx="977">
                  <c:v>-2.4937628992250636</c:v>
                </c:pt>
                <c:pt idx="978">
                  <c:v>-2.5103719787941712</c:v>
                </c:pt>
                <c:pt idx="979">
                  <c:v>-2.5269810573488107</c:v>
                </c:pt>
                <c:pt idx="980">
                  <c:v>-2.5435901348888317</c:v>
                </c:pt>
                <c:pt idx="981">
                  <c:v>-2.5601992114140826</c:v>
                </c:pt>
                <c:pt idx="982">
                  <c:v>-2.576808286924412</c:v>
                </c:pt>
                <c:pt idx="983">
                  <c:v>-2.5934173614196689</c:v>
                </c:pt>
                <c:pt idx="984">
                  <c:v>-2.610026434899702</c:v>
                </c:pt>
                <c:pt idx="985">
                  <c:v>-2.6266355073643601</c:v>
                </c:pt>
                <c:pt idx="986">
                  <c:v>-2.6432445788134924</c:v>
                </c:pt>
                <c:pt idx="987">
                  <c:v>-2.6598536492469473</c:v>
                </c:pt>
                <c:pt idx="988">
                  <c:v>-2.676462718664574</c:v>
                </c:pt>
                <c:pt idx="989">
                  <c:v>-2.6930717870662209</c:v>
                </c:pt>
                <c:pt idx="990">
                  <c:v>-2.709680854451737</c:v>
                </c:pt>
                <c:pt idx="991">
                  <c:v>-2.726289920820971</c:v>
                </c:pt>
                <c:pt idx="992">
                  <c:v>-2.7428989861737718</c:v>
                </c:pt>
                <c:pt idx="993">
                  <c:v>-2.7595080505099885</c:v>
                </c:pt>
                <c:pt idx="994">
                  <c:v>-2.7761171138294696</c:v>
                </c:pt>
                <c:pt idx="995">
                  <c:v>-2.7927261761320641</c:v>
                </c:pt>
                <c:pt idx="996">
                  <c:v>-2.8093352374176206</c:v>
                </c:pt>
                <c:pt idx="997">
                  <c:v>-2.8259442976859881</c:v>
                </c:pt>
                <c:pt idx="998">
                  <c:v>-2.8425533569370152</c:v>
                </c:pt>
                <c:pt idx="999">
                  <c:v>-2.8591624151705513</c:v>
                </c:pt>
                <c:pt idx="1000">
                  <c:v>-2.8757714723864445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2-4CA2-BA56-E0E46E48A268}"/>
            </c:ext>
          </c:extLst>
        </c:ser>
        <c:ser>
          <c:idx val="2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43.33</c:v>
                </c:pt>
                <c:pt idx="1">
                  <c:v>43.502947616556924</c:v>
                </c:pt>
                <c:pt idx="2">
                  <c:v>43.676191982687143</c:v>
                </c:pt>
                <c:pt idx="3">
                  <c:v>43.850095067925984</c:v>
                </c:pt>
                <c:pt idx="4">
                  <c:v>44.025019448138593</c:v>
                </c:pt>
                <c:pt idx="5">
                  <c:v>44.201328445257381</c:v>
                </c:pt>
                <c:pt idx="6">
                  <c:v>44.379294270544257</c:v>
                </c:pt>
                <c:pt idx="7">
                  <c:v>44.559005732977624</c:v>
                </c:pt>
                <c:pt idx="8">
                  <c:v>44.740459740934682</c:v>
                </c:pt>
                <c:pt idx="9">
                  <c:v>44.923653169871478</c:v>
                </c:pt>
                <c:pt idx="10">
                  <c:v>45.108582862672691</c:v>
                </c:pt>
                <c:pt idx="11">
                  <c:v>45.295245629994866</c:v>
                </c:pt>
                <c:pt idx="12">
                  <c:v>45.483638250603377</c:v>
                </c:pt>
                <c:pt idx="13">
                  <c:v>45.673757471703318</c:v>
                </c:pt>
                <c:pt idx="14">
                  <c:v>45.865600009264661</c:v>
                </c:pt>
                <c:pt idx="15">
                  <c:v>46.059162548341767</c:v>
                </c:pt>
                <c:pt idx="16">
                  <c:v>46.254441743387638</c:v>
                </c:pt>
                <c:pt idx="17">
                  <c:v>46.451434218562952</c:v>
                </c:pt>
                <c:pt idx="18">
                  <c:v>46.650136568040189</c:v>
                </c:pt>
                <c:pt idx="19">
                  <c:v>46.850545356302973</c:v>
                </c:pt>
                <c:pt idx="20">
                  <c:v>47.052657118440862</c:v>
                </c:pt>
                <c:pt idx="21">
                  <c:v>47.256468360439726</c:v>
                </c:pt>
                <c:pt idx="22">
                  <c:v>47.461975559467838</c:v>
                </c:pt>
                <c:pt idx="23">
                  <c:v>47.669175164157927</c:v>
                </c:pt>
                <c:pt idx="24">
                  <c:v>47.878063594885262</c:v>
                </c:pt>
                <c:pt idx="25">
                  <c:v>48.088637244041927</c:v>
                </c:pt>
                <c:pt idx="26">
                  <c:v>48.300892476307446</c:v>
                </c:pt>
                <c:pt idx="27">
                  <c:v>48.514825628915887</c:v>
                </c:pt>
                <c:pt idx="28">
                  <c:v>48.730433011919501</c:v>
                </c:pt>
                <c:pt idx="29">
                  <c:v>48.947710908449132</c:v>
                </c:pt>
                <c:pt idx="30">
                  <c:v>49.166655574971394</c:v>
                </c:pt>
                <c:pt idx="31">
                  <c:v>49.387263241542811</c:v>
                </c:pt>
                <c:pt idx="32">
                  <c:v>49.609530112060966</c:v>
                </c:pt>
                <c:pt idx="33">
                  <c:v>49.833452364512787</c:v>
                </c:pt>
                <c:pt idx="34">
                  <c:v>50.059026151220053</c:v>
                </c:pt>
                <c:pt idx="35">
                  <c:v>50.286247599082223</c:v>
                </c:pt>
                <c:pt idx="36">
                  <c:v>50.515112809816678</c:v>
                </c:pt>
                <c:pt idx="37">
                  <c:v>50.745617860196411</c:v>
                </c:pt>
                <c:pt idx="38">
                  <c:v>50.977758802285315</c:v>
                </c:pt>
                <c:pt idx="39">
                  <c:v>51.211531663671089</c:v>
                </c:pt>
                <c:pt idx="40">
                  <c:v>51.446932447695893</c:v>
                </c:pt>
                <c:pt idx="41">
                  <c:v>51.683957133684743</c:v>
                </c:pt>
                <c:pt idx="42">
                  <c:v>51.922601677171777</c:v>
                </c:pt>
                <c:pt idx="43">
                  <c:v>52.162862010124449</c:v>
                </c:pt>
                <c:pt idx="44">
                  <c:v>52.404734041165682</c:v>
                </c:pt>
                <c:pt idx="45">
                  <c:v>52.648213655794038</c:v>
                </c:pt>
                <c:pt idx="46">
                  <c:v>52.893296716602045</c:v>
                </c:pt>
                <c:pt idx="47">
                  <c:v>53.139979063492589</c:v>
                </c:pt>
                <c:pt idx="48">
                  <c:v>53.388256513893559</c:v>
                </c:pt>
                <c:pt idx="49">
                  <c:v>53.638124862970727</c:v>
                </c:pt>
                <c:pt idx="50">
                  <c:v>53.889579883838913</c:v>
                </c:pt>
                <c:pt idx="51">
                  <c:v>54.142617829547113</c:v>
                </c:pt>
                <c:pt idx="52">
                  <c:v>54.397235936528759</c:v>
                </c:pt>
                <c:pt idx="53">
                  <c:v>54.653431924786922</c:v>
                </c:pt>
                <c:pt idx="54">
                  <c:v>54.911203496575332</c:v>
                </c:pt>
                <c:pt idx="55">
                  <c:v>55.170548336530153</c:v>
                </c:pt>
                <c:pt idx="56">
                  <c:v>55.431464111800835</c:v>
                </c:pt>
                <c:pt idx="57">
                  <c:v>55.693948472180068</c:v>
                </c:pt>
                <c:pt idx="58">
                  <c:v>55.95799905023285</c:v>
                </c:pt>
                <c:pt idx="59">
                  <c:v>56.223613461424684</c:v>
                </c:pt>
                <c:pt idx="60">
                  <c:v>56.490789304248977</c:v>
                </c:pt>
                <c:pt idx="61">
                  <c:v>56.759524160353628</c:v>
                </c:pt>
                <c:pt idx="62">
                  <c:v>57.029815594666786</c:v>
                </c:pt>
                <c:pt idx="63">
                  <c:v>57.301661155521884</c:v>
                </c:pt>
                <c:pt idx="64">
                  <c:v>57.575058374781939</c:v>
                </c:pt>
                <c:pt idx="65">
                  <c:v>57.850004767963064</c:v>
                </c:pt>
                <c:pt idx="66">
                  <c:v>58.12649783435733</c:v>
                </c:pt>
                <c:pt idx="67">
                  <c:v>58.404535057154931</c:v>
                </c:pt>
                <c:pt idx="68">
                  <c:v>58.684113903565631</c:v>
                </c:pt>
                <c:pt idx="69">
                  <c:v>58.965231824939622</c:v>
                </c:pt>
                <c:pt idx="70">
                  <c:v>59.247886256887689</c:v>
                </c:pt>
                <c:pt idx="71">
                  <c:v>59.532074619400774</c:v>
                </c:pt>
                <c:pt idx="72">
                  <c:v>59.817794316968929</c:v>
                </c:pt>
                <c:pt idx="73">
                  <c:v>60.105042738699652</c:v>
                </c:pt>
                <c:pt idx="74">
                  <c:v>60.393817258435696</c:v>
                </c:pt>
                <c:pt idx="75">
                  <c:v>60.684115234872237</c:v>
                </c:pt>
                <c:pt idx="76">
                  <c:v>60.975934011673544</c:v>
                </c:pt>
                <c:pt idx="77">
                  <c:v>61.269270917589083</c:v>
                </c:pt>
                <c:pt idx="78">
                  <c:v>61.564123266569077</c:v>
                </c:pt>
                <c:pt idx="79">
                  <c:v>61.860488357879575</c:v>
                </c:pt>
                <c:pt idx="80">
                  <c:v>62.158363476216998</c:v>
                </c:pt>
                <c:pt idx="81">
                  <c:v>62.457745891822164</c:v>
                </c:pt>
                <c:pt idx="82">
                  <c:v>62.75863286059387</c:v>
                </c:pt>
                <c:pt idx="83">
                  <c:v>63.061021624201949</c:v>
                </c:pt>
                <c:pt idx="84">
                  <c:v>63.364909410199886</c:v>
                </c:pt>
                <c:pt idx="85">
                  <c:v>63.670293432136965</c:v>
                </c:pt>
                <c:pt idx="86">
                  <c:v>63.977170889669956</c:v>
                </c:pt>
                <c:pt idx="87">
                  <c:v>64.285538968674373</c:v>
                </c:pt>
                <c:pt idx="88">
                  <c:v>64.595394841355287</c:v>
                </c:pt>
                <c:pt idx="89">
                  <c:v>64.90673566635769</c:v>
                </c:pt>
                <c:pt idx="90">
                  <c:v>65.219558588876495</c:v>
                </c:pt>
                <c:pt idx="91">
                  <c:v>65.533860740766059</c:v>
                </c:pt>
                <c:pt idx="92">
                  <c:v>65.84963924064931</c:v>
                </c:pt>
                <c:pt idx="93">
                  <c:v>66.166891194026519</c:v>
                </c:pt>
                <c:pt idx="94">
                  <c:v>66.485613693383613</c:v>
                </c:pt>
                <c:pt idx="95">
                  <c:v>66.805803818300149</c:v>
                </c:pt>
                <c:pt idx="96">
                  <c:v>67.127458635556863</c:v>
                </c:pt>
                <c:pt idx="97">
                  <c:v>67.450575199242877</c:v>
                </c:pt>
                <c:pt idx="98">
                  <c:v>67.775150550862492</c:v>
                </c:pt>
                <c:pt idx="99">
                  <c:v>68.101181719441669</c:v>
                </c:pt>
                <c:pt idx="100">
                  <c:v>68.428665721634076</c:v>
                </c:pt>
                <c:pt idx="101">
                  <c:v>68.757599322986124</c:v>
                </c:pt>
                <c:pt idx="102">
                  <c:v>69.087978798695218</c:v>
                </c:pt>
                <c:pt idx="103">
                  <c:v>69.419800172034101</c:v>
                </c:pt>
                <c:pt idx="104">
                  <c:v>69.753059453295094</c:v>
                </c:pt>
                <c:pt idx="105">
                  <c:v>70.087752639922115</c:v>
                </c:pt>
                <c:pt idx="106">
                  <c:v>70.423875716642087</c:v>
                </c:pt>
                <c:pt idx="107">
                  <c:v>70.761424655595889</c:v>
                </c:pt>
                <c:pt idx="108">
                  <c:v>71.100395416468814</c:v>
                </c:pt>
                <c:pt idx="109">
                  <c:v>71.440783946620556</c:v>
                </c:pt>
                <c:pt idx="110">
                  <c:v>71.78258618121464</c:v>
                </c:pt>
                <c:pt idx="111">
                  <c:v>72.125798043347402</c:v>
                </c:pt>
                <c:pt idx="112">
                  <c:v>72.470415444176496</c:v>
                </c:pt>
                <c:pt idx="113">
                  <c:v>72.816434283048878</c:v>
                </c:pt>
                <c:pt idx="114">
                  <c:v>73.16385044762832</c:v>
                </c:pt>
                <c:pt idx="115">
                  <c:v>73.51265981402247</c:v>
                </c:pt>
                <c:pt idx="116">
                  <c:v>73.862858246909425</c:v>
                </c:pt>
                <c:pt idx="117">
                  <c:v>74.2144415996638</c:v>
                </c:pt>
                <c:pt idx="118">
                  <c:v>74.567405714482319</c:v>
                </c:pt>
                <c:pt idx="119">
                  <c:v>74.921746422509003</c:v>
                </c:pt>
                <c:pt idx="120">
                  <c:v>75.277459543959793</c:v>
                </c:pt>
                <c:pt idx="121">
                  <c:v>75.634540888246761</c:v>
                </c:pt>
                <c:pt idx="122">
                  <c:v>75.992986254101865</c:v>
                </c:pt>
                <c:pt idx="123">
                  <c:v>76.352791429700162</c:v>
                </c:pt>
                <c:pt idx="124">
                  <c:v>76.713952192782614</c:v>
                </c:pt>
                <c:pt idx="125">
                  <c:v>77.076464310778434</c:v>
                </c:pt>
                <c:pt idx="126">
                  <c:v>77.440323540926926</c:v>
                </c:pt>
                <c:pt idx="127">
                  <c:v>77.805525630398861</c:v>
                </c:pt>
                <c:pt idx="128">
                  <c:v>78.172066316417457</c:v>
                </c:pt>
                <c:pt idx="129">
                  <c:v>78.539941326378766</c:v>
                </c:pt>
                <c:pt idx="130">
                  <c:v>78.909146377971751</c:v>
                </c:pt>
                <c:pt idx="131">
                  <c:v>79.279677179297764</c:v>
                </c:pt>
                <c:pt idx="132">
                  <c:v>79.651529428989633</c:v>
                </c:pt>
                <c:pt idx="133">
                  <c:v>80.024698816330272</c:v>
                </c:pt>
                <c:pt idx="134">
                  <c:v>80.399181021370836</c:v>
                </c:pt>
                <c:pt idx="135">
                  <c:v>80.774971715048366</c:v>
                </c:pt>
                <c:pt idx="136">
                  <c:v>81.152066559303023</c:v>
                </c:pt>
                <c:pt idx="137">
                  <c:v>81.530461207194847</c:v>
                </c:pt>
                <c:pt idx="138">
                  <c:v>81.910151303020001</c:v>
                </c:pt>
                <c:pt idx="139">
                  <c:v>82.291132482426633</c:v>
                </c:pt>
                <c:pt idx="140">
                  <c:v>82.673400372530196</c:v>
                </c:pt>
                <c:pt idx="141">
                  <c:v>83.056950592028343</c:v>
                </c:pt>
                <c:pt idx="142">
                  <c:v>83.441778751315368</c:v>
                </c:pt>
                <c:pt idx="143">
                  <c:v>83.827880452596105</c:v>
                </c:pt>
                <c:pt idx="144">
                  <c:v>84.215251289999472</c:v>
                </c:pt>
                <c:pt idx="145">
                  <c:v>84.603886849691435</c:v>
                </c:pt>
                <c:pt idx="146">
                  <c:v>84.99378270998757</c:v>
                </c:pt>
                <c:pt idx="147">
                  <c:v>85.384934441465163</c:v>
                </c:pt>
                <c:pt idx="148">
                  <c:v>85.777337607074756</c:v>
                </c:pt>
                <c:pt idx="149">
                  <c:v>86.170987762251329</c:v>
                </c:pt>
                <c:pt idx="150">
                  <c:v>86.565880455024939</c:v>
                </c:pt>
                <c:pt idx="151">
                  <c:v>86.962011309615519</c:v>
                </c:pt>
                <c:pt idx="152">
                  <c:v>87.359376110145419</c:v>
                </c:pt>
                <c:pt idx="153">
                  <c:v>87.757970717347945</c:v>
                </c:pt>
                <c:pt idx="154">
                  <c:v>88.15779098515327</c:v>
                </c:pt>
                <c:pt idx="155">
                  <c:v>88.558832760788448</c:v>
                </c:pt>
                <c:pt idx="156">
                  <c:v>88.961091884877035</c:v>
                </c:pt>
                <c:pt idx="157">
                  <c:v>89.364564191538307</c:v>
                </c:pt>
                <c:pt idx="158">
                  <c:v>89.769245508486065</c:v>
                </c:pt>
                <c:pt idx="159">
                  <c:v>90.175131657126983</c:v>
                </c:pt>
                <c:pt idx="160">
                  <c:v>90.582218452658552</c:v>
                </c:pt>
                <c:pt idx="161">
                  <c:v>90.990501704166576</c:v>
                </c:pt>
                <c:pt idx="162">
                  <c:v>91.399977214722327</c:v>
                </c:pt>
                <c:pt idx="163">
                  <c:v>91.810640781479137</c:v>
                </c:pt>
                <c:pt idx="164">
                  <c:v>92.222488195768676</c:v>
                </c:pt>
                <c:pt idx="165">
                  <c:v>92.635515243196778</c:v>
                </c:pt>
                <c:pt idx="166">
                  <c:v>93.049717703738779</c:v>
                </c:pt>
                <c:pt idx="167">
                  <c:v>93.465091351834516</c:v>
                </c:pt>
                <c:pt idx="168">
                  <c:v>93.881631956482806</c:v>
                </c:pt>
                <c:pt idx="169">
                  <c:v>94.299335281335559</c:v>
                </c:pt>
                <c:pt idx="170">
                  <c:v>94.718197084791413</c:v>
                </c:pt>
                <c:pt idx="171">
                  <c:v>95.138213120088992</c:v>
                </c:pt>
                <c:pt idx="172">
                  <c:v>95.559379135399638</c:v>
                </c:pt>
                <c:pt idx="173">
                  <c:v>95.981690873919803</c:v>
                </c:pt>
                <c:pt idx="174">
                  <c:v>96.40514407396293</c:v>
                </c:pt>
                <c:pt idx="175">
                  <c:v>96.829734469050933</c:v>
                </c:pt>
                <c:pt idx="176">
                  <c:v>97.255457788005245</c:v>
                </c:pt>
                <c:pt idx="177">
                  <c:v>97.682309755037366</c:v>
                </c:pt>
                <c:pt idx="178">
                  <c:v>98.110286089839079</c:v>
                </c:pt>
                <c:pt idx="179">
                  <c:v>98.539382507672087</c:v>
                </c:pt>
                <c:pt idx="180">
                  <c:v>98.969594719457334</c:v>
                </c:pt>
                <c:pt idx="181">
                  <c:v>99.400918431863772</c:v>
                </c:pt>
                <c:pt idx="182">
                  <c:v>99.833349347396762</c:v>
                </c:pt>
                <c:pt idx="183">
                  <c:v>100.26688316448602</c:v>
                </c:pt>
                <c:pt idx="184">
                  <c:v>100.70151557757303</c:v>
                </c:pt>
                <c:pt idx="185">
                  <c:v>101.13724227719815</c:v>
                </c:pt>
                <c:pt idx="186">
                  <c:v>101.57405895008714</c:v>
                </c:pt>
                <c:pt idx="187">
                  <c:v>102.01196127923728</c:v>
                </c:pt>
                <c:pt idx="188">
                  <c:v>102.45094494400313</c:v>
                </c:pt>
                <c:pt idx="189">
                  <c:v>102.89100562018164</c:v>
                </c:pt>
                <c:pt idx="190">
                  <c:v>103.33213898009703</c:v>
                </c:pt>
                <c:pt idx="191">
                  <c:v>103.77434069268503</c:v>
                </c:pt>
                <c:pt idx="192">
                  <c:v>104.2176064235768</c:v>
                </c:pt>
                <c:pt idx="193">
                  <c:v>104.66193183518227</c:v>
                </c:pt>
                <c:pt idx="194">
                  <c:v>105.10731258677318</c:v>
                </c:pt>
                <c:pt idx="195">
                  <c:v>105.55374433456548</c:v>
                </c:pt>
                <c:pt idx="196">
                  <c:v>106.00122273180145</c:v>
                </c:pt>
                <c:pt idx="197">
                  <c:v>106.44974342883121</c:v>
                </c:pt>
                <c:pt idx="198">
                  <c:v>106.89930207319389</c:v>
                </c:pt>
                <c:pt idx="199">
                  <c:v>107.34989430969824</c:v>
                </c:pt>
                <c:pt idx="200">
                  <c:v>107.80151578050285</c:v>
                </c:pt>
                <c:pt idx="201">
                  <c:v>108.25416212519589</c:v>
                </c:pt>
                <c:pt idx="202">
                  <c:v>108.70782898087437</c:v>
                </c:pt>
                <c:pt idx="203">
                  <c:v>109.16251198222292</c:v>
                </c:pt>
                <c:pt idx="204">
                  <c:v>109.61820676159222</c:v>
                </c:pt>
                <c:pt idx="205">
                  <c:v>110.07490894907677</c:v>
                </c:pt>
                <c:pt idx="206">
                  <c:v>110.53261417259239</c:v>
                </c:pt>
                <c:pt idx="207">
                  <c:v>110.99131805795312</c:v>
                </c:pt>
                <c:pt idx="208">
                  <c:v>111.45101622894775</c:v>
                </c:pt>
                <c:pt idx="209">
                  <c:v>111.91170430741576</c:v>
                </c:pt>
                <c:pt idx="210">
                  <c:v>112.37337791332295</c:v>
                </c:pt>
                <c:pt idx="211">
                  <c:v>112.83603266483649</c:v>
                </c:pt>
                <c:pt idx="212">
                  <c:v>113.29966417839954</c:v>
                </c:pt>
                <c:pt idx="213">
                  <c:v>113.76426806880535</c:v>
                </c:pt>
                <c:pt idx="214">
                  <c:v>114.22983994927101</c:v>
                </c:pt>
                <c:pt idx="215">
                  <c:v>114.69637543151063</c:v>
                </c:pt>
                <c:pt idx="216">
                  <c:v>115.16387012580805</c:v>
                </c:pt>
                <c:pt idx="217">
                  <c:v>115.63231964108913</c:v>
                </c:pt>
                <c:pt idx="218">
                  <c:v>116.10171958499355</c:v>
                </c:pt>
                <c:pt idx="219">
                  <c:v>116.57206556394614</c:v>
                </c:pt>
                <c:pt idx="220">
                  <c:v>117.04335318322774</c:v>
                </c:pt>
                <c:pt idx="221">
                  <c:v>117.51557804704555</c:v>
                </c:pt>
                <c:pt idx="222">
                  <c:v>117.98873575860308</c:v>
                </c:pt>
                <c:pt idx="223">
                  <c:v>118.4628219201696</c:v>
                </c:pt>
                <c:pt idx="224">
                  <c:v>118.93783213314906</c:v>
                </c:pt>
                <c:pt idx="225">
                  <c:v>119.41376199814864</c:v>
                </c:pt>
                <c:pt idx="226">
                  <c:v>119.89060711504676</c:v>
                </c:pt>
                <c:pt idx="227">
                  <c:v>120.36836308306063</c:v>
                </c:pt>
                <c:pt idx="228">
                  <c:v>120.84702550081332</c:v>
                </c:pt>
                <c:pt idx="229">
                  <c:v>121.32658996640039</c:v>
                </c:pt>
                <c:pt idx="230">
                  <c:v>121.80705207745606</c:v>
                </c:pt>
                <c:pt idx="231">
                  <c:v>122.2884074312188</c:v>
                </c:pt>
                <c:pt idx="232">
                  <c:v>122.77065162459658</c:v>
                </c:pt>
                <c:pt idx="233">
                  <c:v>123.25378025423157</c:v>
                </c:pt>
                <c:pt idx="234">
                  <c:v>123.73778891656441</c:v>
                </c:pt>
                <c:pt idx="235">
                  <c:v>124.22267320789796</c:v>
                </c:pt>
                <c:pt idx="236">
                  <c:v>124.70842872446062</c:v>
                </c:pt>
                <c:pt idx="237">
                  <c:v>125.19505106246916</c:v>
                </c:pt>
                <c:pt idx="238">
                  <c:v>125.68253581819111</c:v>
                </c:pt>
                <c:pt idx="239">
                  <c:v>126.17087858800662</c:v>
                </c:pt>
                <c:pt idx="240">
                  <c:v>126.66007496846986</c:v>
                </c:pt>
                <c:pt idx="241">
                  <c:v>127.15012055637003</c:v>
                </c:pt>
                <c:pt idx="242">
                  <c:v>127.64101094879179</c:v>
                </c:pt>
                <c:pt idx="243">
                  <c:v>128.13274174317527</c:v>
                </c:pt>
                <c:pt idx="244">
                  <c:v>128.62530853737567</c:v>
                </c:pt>
                <c:pt idx="245">
                  <c:v>129.11870692972226</c:v>
                </c:pt>
                <c:pt idx="246">
                  <c:v>129.61293251907699</c:v>
                </c:pt>
                <c:pt idx="247">
                  <c:v>130.1079809048926</c:v>
                </c:pt>
                <c:pt idx="248">
                  <c:v>130.60384768727036</c:v>
                </c:pt>
                <c:pt idx="249">
                  <c:v>131.10052846701723</c:v>
                </c:pt>
                <c:pt idx="250">
                  <c:v>131.59801884570251</c:v>
                </c:pt>
                <c:pt idx="251">
                  <c:v>132.09631404900452</c:v>
                </c:pt>
                <c:pt idx="252">
                  <c:v>132.59540854992068</c:v>
                </c:pt>
                <c:pt idx="253">
                  <c:v>133.09529644582136</c:v>
                </c:pt>
                <c:pt idx="254">
                  <c:v>133.59597183565205</c:v>
                </c:pt>
                <c:pt idx="255">
                  <c:v>134.09742882001325</c:v>
                </c:pt>
                <c:pt idx="256">
                  <c:v>134.59966150123964</c:v>
                </c:pt>
                <c:pt idx="257">
                  <c:v>135.10266398347841</c:v>
                </c:pt>
                <c:pt idx="258">
                  <c:v>135.60643037276691</c:v>
                </c:pt>
                <c:pt idx="259">
                  <c:v>136.11095477710944</c:v>
                </c:pt>
                <c:pt idx="260">
                  <c:v>136.61623130655337</c:v>
                </c:pt>
                <c:pt idx="261">
                  <c:v>137.12225407326449</c:v>
                </c:pt>
                <c:pt idx="262">
                  <c:v>137.62901719160152</c:v>
                </c:pt>
                <c:pt idx="263">
                  <c:v>138.13651477818999</c:v>
                </c:pt>
                <c:pt idx="264">
                  <c:v>138.64474095199517</c:v>
                </c:pt>
                <c:pt idx="265">
                  <c:v>139.15368983439453</c:v>
                </c:pt>
                <c:pt idx="266">
                  <c:v>139.6633555492491</c:v>
                </c:pt>
                <c:pt idx="267">
                  <c:v>140.17373222297448</c:v>
                </c:pt>
                <c:pt idx="268">
                  <c:v>140.68481398461066</c:v>
                </c:pt>
                <c:pt idx="269">
                  <c:v>141.19659496589148</c:v>
                </c:pt>
                <c:pt idx="270">
                  <c:v>141.70906930131312</c:v>
                </c:pt>
                <c:pt idx="271">
                  <c:v>142.22223112820186</c:v>
                </c:pt>
                <c:pt idx="272">
                  <c:v>142.73607458678123</c:v>
                </c:pt>
                <c:pt idx="273">
                  <c:v>143.25059382023824</c:v>
                </c:pt>
                <c:pt idx="274">
                  <c:v>143.76578297478898</c:v>
                </c:pt>
                <c:pt idx="275">
                  <c:v>144.28163619974353</c:v>
                </c:pt>
                <c:pt idx="276">
                  <c:v>144.79814764756995</c:v>
                </c:pt>
                <c:pt idx="277">
                  <c:v>145.31531147395773</c:v>
                </c:pt>
                <c:pt idx="278">
                  <c:v>145.83312183788044</c:v>
                </c:pt>
                <c:pt idx="279">
                  <c:v>146.35157290165753</c:v>
                </c:pt>
                <c:pt idx="280">
                  <c:v>146.87065883101562</c:v>
                </c:pt>
                <c:pt idx="281">
                  <c:v>147.39037379514886</c:v>
                </c:pt>
                <c:pt idx="282">
                  <c:v>147.91071196677873</c:v>
                </c:pt>
                <c:pt idx="283">
                  <c:v>148.43166752221305</c:v>
                </c:pt>
                <c:pt idx="284">
                  <c:v>148.95323464140418</c:v>
                </c:pt>
                <c:pt idx="285">
                  <c:v>149.47540750800664</c:v>
                </c:pt>
                <c:pt idx="286">
                  <c:v>149.99818030943396</c:v>
                </c:pt>
                <c:pt idx="287">
                  <c:v>150.52154723691484</c:v>
                </c:pt>
                <c:pt idx="288">
                  <c:v>151.0455024855485</c:v>
                </c:pt>
                <c:pt idx="289">
                  <c:v>151.57004025435947</c:v>
                </c:pt>
                <c:pt idx="290">
                  <c:v>152.09515474635154</c:v>
                </c:pt>
                <c:pt idx="291">
                  <c:v>152.62084016856113</c:v>
                </c:pt>
                <c:pt idx="292">
                  <c:v>153.14709073210986</c:v>
                </c:pt>
                <c:pt idx="293">
                  <c:v>153.67390065225641</c:v>
                </c:pt>
                <c:pt idx="294">
                  <c:v>154.20126414844779</c:v>
                </c:pt>
                <c:pt idx="295">
                  <c:v>154.72917544436984</c:v>
                </c:pt>
                <c:pt idx="296">
                  <c:v>155.25762876799701</c:v>
                </c:pt>
                <c:pt idx="297">
                  <c:v>155.78661835164152</c:v>
                </c:pt>
                <c:pt idx="298">
                  <c:v>156.31613422100625</c:v>
                </c:pt>
                <c:pt idx="299">
                  <c:v>156.84615798481107</c:v>
                </c:pt>
                <c:pt idx="300">
                  <c:v>157.37666705251925</c:v>
                </c:pt>
                <c:pt idx="301">
                  <c:v>157.90763885173769</c:v>
                </c:pt>
                <c:pt idx="302">
                  <c:v>158.43905082875517</c:v>
                </c:pt>
                <c:pt idx="303">
                  <c:v>158.97088044907176</c:v>
                </c:pt>
                <c:pt idx="304">
                  <c:v>159.50310519791901</c:v>
                </c:pt>
                <c:pt idx="305">
                  <c:v>160.03570258077116</c:v>
                </c:pt>
                <c:pt idx="306">
                  <c:v>160.56865012384731</c:v>
                </c:pt>
                <c:pt idx="307">
                  <c:v>161.10192537460455</c:v>
                </c:pt>
                <c:pt idx="308">
                  <c:v>161.63550590222215</c:v>
                </c:pt>
                <c:pt idx="309">
                  <c:v>162.1693692980767</c:v>
                </c:pt>
                <c:pt idx="310">
                  <c:v>162.70349317620841</c:v>
                </c:pt>
                <c:pt idx="311">
                  <c:v>163.23785517377834</c:v>
                </c:pt>
                <c:pt idx="312">
                  <c:v>163.77243295151683</c:v>
                </c:pt>
                <c:pt idx="313">
                  <c:v>164.30720419416301</c:v>
                </c:pt>
                <c:pt idx="314">
                  <c:v>164.84214661089541</c:v>
                </c:pt>
                <c:pt idx="315">
                  <c:v>165.37723793575384</c:v>
                </c:pt>
                <c:pt idx="316">
                  <c:v>165.91245592805234</c:v>
                </c:pt>
                <c:pt idx="317">
                  <c:v>166.44777837278343</c:v>
                </c:pt>
                <c:pt idx="318">
                  <c:v>166.98318308101364</c:v>
                </c:pt>
                <c:pt idx="319">
                  <c:v>167.51864789027016</c:v>
                </c:pt>
                <c:pt idx="320">
                  <c:v>168.05415066491906</c:v>
                </c:pt>
                <c:pt idx="321">
                  <c:v>168.58967098455386</c:v>
                </c:pt>
                <c:pt idx="322">
                  <c:v>169.12519183097083</c:v>
                </c:pt>
                <c:pt idx="323">
                  <c:v>169.66069789605311</c:v>
                </c:pt>
                <c:pt idx="324">
                  <c:v>170.19617389094972</c:v>
                </c:pt>
                <c:pt idx="325">
                  <c:v>170.73160454621097</c:v>
                </c:pt>
                <c:pt idx="326">
                  <c:v>171.26697461191989</c:v>
                </c:pt>
                <c:pt idx="327">
                  <c:v>171.80226885781954</c:v>
                </c:pt>
                <c:pt idx="328">
                  <c:v>172.33747207343657</c:v>
                </c:pt>
                <c:pt idx="329">
                  <c:v>172.87256906820073</c:v>
                </c:pt>
                <c:pt idx="330">
                  <c:v>173.40754467156054</c:v>
                </c:pt>
                <c:pt idx="331">
                  <c:v>173.94238373309503</c:v>
                </c:pt>
                <c:pt idx="332">
                  <c:v>174.47707112262168</c:v>
                </c:pt>
                <c:pt idx="333">
                  <c:v>175.01159173030049</c:v>
                </c:pt>
                <c:pt idx="334">
                  <c:v>175.54593046673432</c:v>
                </c:pt>
                <c:pt idx="335">
                  <c:v>176.08007226306526</c:v>
                </c:pt>
                <c:pt idx="336">
                  <c:v>176.61400207106749</c:v>
                </c:pt>
                <c:pt idx="337">
                  <c:v>177.1477048632361</c:v>
                </c:pt>
                <c:pt idx="338">
                  <c:v>177.68116563287251</c:v>
                </c:pt>
                <c:pt idx="339">
                  <c:v>178.21436939416594</c:v>
                </c:pt>
                <c:pt idx="340">
                  <c:v>178.74730118227134</c:v>
                </c:pt>
                <c:pt idx="341">
                  <c:v>179.27994605338358</c:v>
                </c:pt>
                <c:pt idx="342">
                  <c:v>179.81228908480816</c:v>
                </c:pt>
                <c:pt idx="343">
                  <c:v>180.34431537502809</c:v>
                </c:pt>
                <c:pt idx="344">
                  <c:v>180.87601004376742</c:v>
                </c:pt>
                <c:pt idx="345">
                  <c:v>181.40735823205108</c:v>
                </c:pt>
                <c:pt idx="346">
                  <c:v>181.93834510226117</c:v>
                </c:pt>
                <c:pt idx="347">
                  <c:v>182.46895583818983</c:v>
                </c:pt>
                <c:pt idx="348">
                  <c:v>182.99917582865402</c:v>
                </c:pt>
                <c:pt idx="349">
                  <c:v>183.52899085086744</c:v>
                </c:pt>
                <c:pt idx="350">
                  <c:v>184.0583868863128</c:v>
                </c:pt>
                <c:pt idx="351">
                  <c:v>184.58734993684399</c:v>
                </c:pt>
                <c:pt idx="352">
                  <c:v>185.11586602471078</c:v>
                </c:pt>
                <c:pt idx="353">
                  <c:v>185.64392119258025</c:v>
                </c:pt>
                <c:pt idx="354">
                  <c:v>186.17150150355536</c:v>
                </c:pt>
                <c:pt idx="355">
                  <c:v>186.69859304119049</c:v>
                </c:pt>
                <c:pt idx="356">
                  <c:v>187.22518190950407</c:v>
                </c:pt>
                <c:pt idx="357">
                  <c:v>187.75125423298823</c:v>
                </c:pt>
                <c:pt idx="358">
                  <c:v>188.27679615661557</c:v>
                </c:pt>
                <c:pt idx="359">
                  <c:v>188.80179384584312</c:v>
                </c:pt>
                <c:pt idx="360">
                  <c:v>189.32623731750891</c:v>
                </c:pt>
                <c:pt idx="361">
                  <c:v>189.8501242651318</c:v>
                </c:pt>
                <c:pt idx="362">
                  <c:v>190.37345621466611</c:v>
                </c:pt>
                <c:pt idx="363">
                  <c:v>190.89623468586959</c:v>
                </c:pt>
                <c:pt idx="364">
                  <c:v>191.41846119233753</c:v>
                </c:pt>
                <c:pt idx="365">
                  <c:v>191.94013724153663</c:v>
                </c:pt>
                <c:pt idx="366">
                  <c:v>192.46126433483872</c:v>
                </c:pt>
                <c:pt idx="367">
                  <c:v>192.98184396755417</c:v>
                </c:pt>
                <c:pt idx="368">
                  <c:v>193.50187762896508</c:v>
                </c:pt>
                <c:pt idx="369">
                  <c:v>194.02136680235824</c:v>
                </c:pt>
                <c:pt idx="370">
                  <c:v>194.54031296505798</c:v>
                </c:pt>
                <c:pt idx="371">
                  <c:v>195.05871758845856</c:v>
                </c:pt>
                <c:pt idx="372">
                  <c:v>195.57658213805655</c:v>
                </c:pt>
                <c:pt idx="373">
                  <c:v>196.09390807348291</c:v>
                </c:pt>
                <c:pt idx="374">
                  <c:v>196.61069684853481</c:v>
                </c:pt>
                <c:pt idx="375">
                  <c:v>197.1269499112073</c:v>
                </c:pt>
                <c:pt idx="376">
                  <c:v>197.64266870372472</c:v>
                </c:pt>
                <c:pt idx="377">
                  <c:v>198.15785466257191</c:v>
                </c:pt>
                <c:pt idx="378">
                  <c:v>198.67250921852525</c:v>
                </c:pt>
                <c:pt idx="379">
                  <c:v>199.1866337966834</c:v>
                </c:pt>
                <c:pt idx="380">
                  <c:v>199.70022981649788</c:v>
                </c:pt>
                <c:pt idx="381">
                  <c:v>200.21329869180352</c:v>
                </c:pt>
                <c:pt idx="382">
                  <c:v>200.72584183084848</c:v>
                </c:pt>
                <c:pt idx="383">
                  <c:v>201.2378606363244</c:v>
                </c:pt>
                <c:pt idx="384">
                  <c:v>201.74935650539598</c:v>
                </c:pt>
                <c:pt idx="385">
                  <c:v>202.26033082973069</c:v>
                </c:pt>
                <c:pt idx="386">
                  <c:v>202.770784995528</c:v>
                </c:pt>
                <c:pt idx="387">
                  <c:v>203.28072038354867</c:v>
                </c:pt>
                <c:pt idx="388">
                  <c:v>203.79013836914362</c:v>
                </c:pt>
                <c:pt idx="389">
                  <c:v>204.29904032228276</c:v>
                </c:pt>
                <c:pt idx="390">
                  <c:v>204.80742760758358</c:v>
                </c:pt>
                <c:pt idx="391">
                  <c:v>205.31530158433947</c:v>
                </c:pt>
                <c:pt idx="392">
                  <c:v>205.82266360654799</c:v>
                </c:pt>
                <c:pt idx="393">
                  <c:v>206.32951502293886</c:v>
                </c:pt>
                <c:pt idx="394">
                  <c:v>206.83585717700183</c:v>
                </c:pt>
                <c:pt idx="395">
                  <c:v>207.3416914070142</c:v>
                </c:pt>
                <c:pt idx="396">
                  <c:v>207.84701904606843</c:v>
                </c:pt>
                <c:pt idx="397">
                  <c:v>208.35184142209934</c:v>
                </c:pt>
                <c:pt idx="398">
                  <c:v>208.85615985791122</c:v>
                </c:pt>
                <c:pt idx="399">
                  <c:v>209.35997567120472</c:v>
                </c:pt>
                <c:pt idx="400">
                  <c:v>209.86329017460363</c:v>
                </c:pt>
                <c:pt idx="401">
                  <c:v>214.86896444466802</c:v>
                </c:pt>
                <c:pt idx="402">
                  <c:v>219.82534868628761</c:v>
                </c:pt>
                <c:pt idx="403">
                  <c:v>224.73370848918685</c:v>
                </c:pt>
                <c:pt idx="404">
                  <c:v>229.5952620517923</c:v>
                </c:pt>
                <c:pt idx="405">
                  <c:v>234.4111825692278</c:v>
                </c:pt>
                <c:pt idx="406">
                  <c:v>239.18260047144855</c:v>
                </c:pt>
                <c:pt idx="407">
                  <c:v>243.91060552273649</c:v>
                </c:pt>
                <c:pt idx="408">
                  <c:v>248.59624879280662</c:v>
                </c:pt>
                <c:pt idx="409">
                  <c:v>253.24054450889594</c:v>
                </c:pt>
                <c:pt idx="410">
                  <c:v>257.84447179741449</c:v>
                </c:pt>
                <c:pt idx="411">
                  <c:v>262.40897632302153</c:v>
                </c:pt>
                <c:pt idx="412">
                  <c:v>266.93497183234126</c:v>
                </c:pt>
                <c:pt idx="413">
                  <c:v>271.42334160894427</c:v>
                </c:pt>
                <c:pt idx="414">
                  <c:v>275.87493984568789</c:v>
                </c:pt>
                <c:pt idx="415">
                  <c:v>280.29059294002292</c:v>
                </c:pt>
                <c:pt idx="416">
                  <c:v>284.67110071743383</c:v>
                </c:pt>
                <c:pt idx="417">
                  <c:v>289.01723758777712</c:v>
                </c:pt>
                <c:pt idx="418">
                  <c:v>293.32975363891694</c:v>
                </c:pt>
                <c:pt idx="419">
                  <c:v>297.60937567172181</c:v>
                </c:pt>
                <c:pt idx="420">
                  <c:v>301.85680818018142</c:v>
                </c:pt>
                <c:pt idx="421">
                  <c:v>306.07273428012309</c:v>
                </c:pt>
                <c:pt idx="422">
                  <c:v>310.2578165897508</c:v>
                </c:pt>
                <c:pt idx="423">
                  <c:v>314.41269806499633</c:v>
                </c:pt>
                <c:pt idx="424">
                  <c:v>318.53800279245559</c:v>
                </c:pt>
                <c:pt idx="425">
                  <c:v>322.63433674248705</c:v>
                </c:pt>
                <c:pt idx="426">
                  <c:v>326.70228848486647</c:v>
                </c:pt>
                <c:pt idx="427">
                  <c:v>330.74242986922542</c:v>
                </c:pt>
                <c:pt idx="428">
                  <c:v>334.75531667234787</c:v>
                </c:pt>
                <c:pt idx="429">
                  <c:v>338.74148921425621</c:v>
                </c:pt>
                <c:pt idx="430">
                  <c:v>342.70147294488822</c:v>
                </c:pt>
                <c:pt idx="431">
                  <c:v>346.6357790030458</c:v>
                </c:pt>
                <c:pt idx="432">
                  <c:v>350.54490474918396</c:v>
                </c:pt>
                <c:pt idx="433">
                  <c:v>354.42933427350653</c:v>
                </c:pt>
                <c:pt idx="434">
                  <c:v>358.28953888073875</c:v>
                </c:pt>
                <c:pt idx="435">
                  <c:v>362.12597755285896</c:v>
                </c:pt>
                <c:pt idx="436">
                  <c:v>365.93909739099018</c:v>
                </c:pt>
                <c:pt idx="437">
                  <c:v>369.72933403757509</c:v>
                </c:pt>
                <c:pt idx="438">
                  <c:v>373.49711207988906</c:v>
                </c:pt>
                <c:pt idx="439">
                  <c:v>377.24284543587942</c:v>
                </c:pt>
                <c:pt idx="440">
                  <c:v>380.96693772325835</c:v>
                </c:pt>
                <c:pt idx="441">
                  <c:v>384.66978261272084</c:v>
                </c:pt>
                <c:pt idx="442">
                  <c:v>388.35176416610562</c:v>
                </c:pt>
                <c:pt idx="443">
                  <c:v>392.01325716026878</c:v>
                </c:pt>
                <c:pt idx="444">
                  <c:v>395.65462739739371</c:v>
                </c:pt>
                <c:pt idx="445">
                  <c:v>399.27623200241794</c:v>
                </c:pt>
                <c:pt idx="446">
                  <c:v>402.87841970821876</c:v>
                </c:pt>
                <c:pt idx="447">
                  <c:v>406.46153112916136</c:v>
                </c:pt>
                <c:pt idx="448">
                  <c:v>410.0258990235792</c:v>
                </c:pt>
                <c:pt idx="449">
                  <c:v>413.57184854572336</c:v>
                </c:pt>
                <c:pt idx="450">
                  <c:v>417.09969748768799</c:v>
                </c:pt>
                <c:pt idx="451">
                  <c:v>420.60975651179012</c:v>
                </c:pt>
                <c:pt idx="452">
                  <c:v>424.10232937385547</c:v>
                </c:pt>
                <c:pt idx="453">
                  <c:v>427.57771313783746</c:v>
                </c:pt>
                <c:pt idx="454">
                  <c:v>431.0361983821727</c:v>
                </c:pt>
                <c:pt idx="455">
                  <c:v>434.478069398255</c:v>
                </c:pt>
                <c:pt idx="456">
                  <c:v>437.90360438138896</c:v>
                </c:pt>
                <c:pt idx="457">
                  <c:v>441.31307561456492</c:v>
                </c:pt>
                <c:pt idx="458">
                  <c:v>444.70674964537938</c:v>
                </c:pt>
                <c:pt idx="459">
                  <c:v>448.08488745640727</c:v>
                </c:pt>
                <c:pt idx="460">
                  <c:v>451.44774462931719</c:v>
                </c:pt>
                <c:pt idx="461">
                  <c:v>454.79557150300531</c:v>
                </c:pt>
                <c:pt idx="462">
                  <c:v>458.12861332600937</c:v>
                </c:pt>
                <c:pt idx="463">
                  <c:v>461.44711040345089</c:v>
                </c:pt>
                <c:pt idx="464">
                  <c:v>464.7512982387417</c:v>
                </c:pt>
                <c:pt idx="465">
                  <c:v>468.04140767027809</c:v>
                </c:pt>
                <c:pt idx="466">
                  <c:v>471.31766500333561</c:v>
                </c:pt>
                <c:pt idx="467">
                  <c:v>474.5802921373662</c:v>
                </c:pt>
                <c:pt idx="468">
                  <c:v>477.82950668889026</c:v>
                </c:pt>
                <c:pt idx="469">
                  <c:v>481.06552211016611</c:v>
                </c:pt>
                <c:pt idx="470">
                  <c:v>484.28854780381073</c:v>
                </c:pt>
                <c:pt idx="471">
                  <c:v>487.49878923353742</c:v>
                </c:pt>
                <c:pt idx="472">
                  <c:v>490.69644803116785</c:v>
                </c:pt>
                <c:pt idx="473">
                  <c:v>493.88172210006871</c:v>
                </c:pt>
                <c:pt idx="474">
                  <c:v>497.05480571515568</c:v>
                </c:pt>
                <c:pt idx="475">
                  <c:v>500.21588961960111</c:v>
                </c:pt>
                <c:pt idx="476">
                  <c:v>503.36516111837551</c:v>
                </c:pt>
                <c:pt idx="477">
                  <c:v>506.50280416874614</c:v>
                </c:pt>
                <c:pt idx="478">
                  <c:v>509.6289994678516</c:v>
                </c:pt>
                <c:pt idx="479">
                  <c:v>512.74392453746464</c:v>
                </c:pt>
                <c:pt idx="480">
                  <c:v>515.84775380605083</c:v>
                </c:pt>
                <c:pt idx="481">
                  <c:v>518.94065868822588</c:v>
                </c:pt>
                <c:pt idx="482">
                  <c:v>522.02280766170986</c:v>
                </c:pt>
                <c:pt idx="483">
                  <c:v>525.09436634187159</c:v>
                </c:pt>
                <c:pt idx="484">
                  <c:v>528.15549755395296</c:v>
                </c:pt>
                <c:pt idx="485">
                  <c:v>531.20636140305885</c:v>
                </c:pt>
                <c:pt idx="486">
                  <c:v>534.24711534199412</c:v>
                </c:pt>
                <c:pt idx="487">
                  <c:v>537.27791423702558</c:v>
                </c:pt>
                <c:pt idx="488">
                  <c:v>540.29891043164469</c:v>
                </c:pt>
                <c:pt idx="489">
                  <c:v>543.31025380840072</c:v>
                </c:pt>
                <c:pt idx="490">
                  <c:v>546.31209184887462</c:v>
                </c:pt>
                <c:pt idx="491">
                  <c:v>549.3045696918573</c:v>
                </c:pt>
                <c:pt idx="492">
                  <c:v>552.28783018979641</c:v>
                </c:pt>
                <c:pt idx="493">
                  <c:v>555.26201396356987</c:v>
                </c:pt>
                <c:pt idx="494">
                  <c:v>558.22725945564503</c:v>
                </c:pt>
                <c:pt idx="495">
                  <c:v>561.18370298167679</c:v>
                </c:pt>
                <c:pt idx="496">
                  <c:v>564.13147878059817</c:v>
                </c:pt>
                <c:pt idx="497">
                  <c:v>567.07071906325359</c:v>
                </c:pt>
                <c:pt idx="498">
                  <c:v>570.00155405962187</c:v>
                </c:pt>
                <c:pt idx="499">
                  <c:v>572.92411206467568</c:v>
                </c:pt>
                <c:pt idx="500">
                  <c:v>575.83851948292227</c:v>
                </c:pt>
                <c:pt idx="501">
                  <c:v>578.74490087166532</c:v>
                </c:pt>
                <c:pt idx="502">
                  <c:v>581.64337898303108</c:v>
                </c:pt>
                <c:pt idx="503">
                  <c:v>584.5340748047945</c:v>
                </c:pt>
                <c:pt idx="504">
                  <c:v>587.4171076000448</c:v>
                </c:pt>
                <c:pt idx="505">
                  <c:v>590.29259494572341</c:v>
                </c:pt>
                <c:pt idx="506">
                  <c:v>593.1606527700701</c:v>
                </c:pt>
                <c:pt idx="507">
                  <c:v>596.02139538900735</c:v>
                </c:pt>
                <c:pt idx="508">
                  <c:v>598.87493554149569</c:v>
                </c:pt>
                <c:pt idx="509">
                  <c:v>601.72138442388791</c:v>
                </c:pt>
                <c:pt idx="510">
                  <c:v>604.56085172331052</c:v>
                </c:pt>
                <c:pt idx="511">
                  <c:v>607.39344565009901</c:v>
                </c:pt>
                <c:pt idx="512">
                  <c:v>610.2192729693129</c:v>
                </c:pt>
                <c:pt idx="513">
                  <c:v>613.03843903135316</c:v>
                </c:pt>
                <c:pt idx="514">
                  <c:v>615.85104780170673</c:v>
                </c:pt>
                <c:pt idx="515">
                  <c:v>618.65720188983801</c:v>
                </c:pt>
                <c:pt idx="516">
                  <c:v>621.45700257724889</c:v>
                </c:pt>
                <c:pt idx="517">
                  <c:v>624.25054984472661</c:v>
                </c:pt>
                <c:pt idx="518">
                  <c:v>627.03794239879733</c:v>
                </c:pt>
                <c:pt idx="519">
                  <c:v>629.81927769740207</c:v>
                </c:pt>
                <c:pt idx="520">
                  <c:v>632.59465197481234</c:v>
                </c:pt>
                <c:pt idx="521">
                  <c:v>635.36416026579877</c:v>
                </c:pt>
                <c:pt idx="522">
                  <c:v>638.12789642906773</c:v>
                </c:pt>
                <c:pt idx="523">
                  <c:v>640.88595316997771</c:v>
                </c:pt>
                <c:pt idx="524">
                  <c:v>643.6384220625481</c:v>
                </c:pt>
                <c:pt idx="525">
                  <c:v>646.38539357076979</c:v>
                </c:pt>
                <c:pt idx="526">
                  <c:v>649.12695706922773</c:v>
                </c:pt>
                <c:pt idx="527">
                  <c:v>651.86320086304329</c:v>
                </c:pt>
                <c:pt idx="528">
                  <c:v>654.5942122071441</c:v>
                </c:pt>
                <c:pt idx="529">
                  <c:v>657.32007732486647</c:v>
                </c:pt>
                <c:pt idx="530">
                  <c:v>660.04088142589626</c:v>
                </c:pt>
                <c:pt idx="531">
                  <c:v>662.7567087235509</c:v>
                </c:pt>
                <c:pt idx="532">
                  <c:v>665.46764245140525</c:v>
                </c:pt>
                <c:pt idx="533">
                  <c:v>668.17376487926231</c:v>
                </c:pt>
                <c:pt idx="534">
                  <c:v>670.8751573284685</c:v>
                </c:pt>
                <c:pt idx="535">
                  <c:v>673.5719001865715</c:v>
                </c:pt>
                <c:pt idx="536">
                  <c:v>676.26407292131842</c:v>
                </c:pt>
                <c:pt idx="537">
                  <c:v>678.9517540939878</c:v>
                </c:pt>
                <c:pt idx="538">
                  <c:v>681.63502137205137</c:v>
                </c:pt>
                <c:pt idx="539">
                  <c:v>684.31395154115592</c:v>
                </c:pt>
                <c:pt idx="540">
                  <c:v>686.98862051641663</c:v>
                </c:pt>
                <c:pt idx="541">
                  <c:v>689.6591033530093</c:v>
                </c:pt>
                <c:pt idx="542">
                  <c:v>692.32547425604901</c:v>
                </c:pt>
                <c:pt idx="543">
                  <c:v>694.98780658973874</c:v>
                </c:pt>
                <c:pt idx="544">
                  <c:v>697.64617288577062</c:v>
                </c:pt>
                <c:pt idx="545">
                  <c:v>700.30064485095943</c:v>
                </c:pt>
                <c:pt idx="546">
                  <c:v>702.95129337408548</c:v>
                </c:pt>
                <c:pt idx="547">
                  <c:v>705.59818853192223</c:v>
                </c:pt>
                <c:pt idx="548">
                  <c:v>708.24139959441948</c:v>
                </c:pt>
                <c:pt idx="549">
                  <c:v>710.88099502901207</c:v>
                </c:pt>
                <c:pt idx="550">
                  <c:v>713.51704250401872</c:v>
                </c:pt>
                <c:pt idx="551">
                  <c:v>716.14960889109432</c:v>
                </c:pt>
                <c:pt idx="552">
                  <c:v>718.77876026669378</c:v>
                </c:pt>
                <c:pt idx="553">
                  <c:v>721.40456191250212</c:v>
                </c:pt>
                <c:pt idx="554">
                  <c:v>724.02707831478244</c:v>
                </c:pt>
                <c:pt idx="555">
                  <c:v>726.64637316258745</c:v>
                </c:pt>
                <c:pt idx="556">
                  <c:v>729.26250934477753</c:v>
                </c:pt>
                <c:pt idx="557">
                  <c:v>731.87554894578193</c:v>
                </c:pt>
                <c:pt idx="558">
                  <c:v>734.48555324003689</c:v>
                </c:pt>
                <c:pt idx="559">
                  <c:v>737.09258268502663</c:v>
                </c:pt>
                <c:pt idx="560">
                  <c:v>739.6966969128506</c:v>
                </c:pt>
                <c:pt idx="561">
                  <c:v>742.29795472023432</c:v>
                </c:pt>
                <c:pt idx="562">
                  <c:v>744.89641405689383</c:v>
                </c:pt>
                <c:pt idx="563">
                  <c:v>747.49213201216219</c:v>
                </c:pt>
                <c:pt idx="564">
                  <c:v>750.08516479977777</c:v>
                </c:pt>
                <c:pt idx="565">
                  <c:v>752.67556774073171</c:v>
                </c:pt>
                <c:pt idx="566">
                  <c:v>755.26339524406649</c:v>
                </c:pt>
                <c:pt idx="567">
                  <c:v>757.84870078551387</c:v>
                </c:pt>
                <c:pt idx="568">
                  <c:v>760.43153688385837</c:v>
                </c:pt>
                <c:pt idx="569">
                  <c:v>763.0119550749107</c:v>
                </c:pt>
                <c:pt idx="570">
                  <c:v>765.59000588297613</c:v>
                </c:pt>
                <c:pt idx="571">
                  <c:v>768.16573878970428</c:v>
                </c:pt>
                <c:pt idx="572">
                  <c:v>770.73920220021375</c:v>
                </c:pt>
                <c:pt idx="573">
                  <c:v>773.31044340639141</c:v>
                </c:pt>
                <c:pt idx="574">
                  <c:v>775.87950854727978</c:v>
                </c:pt>
                <c:pt idx="575">
                  <c:v>778.44644256648314</c:v>
                </c:pt>
                <c:pt idx="576">
                  <c:v>781.01128916654432</c:v>
                </c:pt>
                <c:pt idx="577">
                  <c:v>783.57409076027557</c:v>
                </c:pt>
                <c:pt idx="578">
                  <c:v>786.13488841906167</c:v>
                </c:pt>
                <c:pt idx="579">
                  <c:v>788.69372181819892</c:v>
                </c:pt>
                <c:pt idx="580">
                  <c:v>791.2506291793876</c:v>
                </c:pt>
                <c:pt idx="581">
                  <c:v>793.80564721055828</c:v>
                </c:pt>
                <c:pt idx="582">
                  <c:v>796.35881104328519</c:v>
                </c:pt>
                <c:pt idx="583">
                  <c:v>798.91015416812252</c:v>
                </c:pt>
                <c:pt idx="584">
                  <c:v>801.45970836828997</c:v>
                </c:pt>
                <c:pt idx="585">
                  <c:v>804.00750365223075</c:v>
                </c:pt>
                <c:pt idx="586">
                  <c:v>806.55356818567009</c:v>
                </c:pt>
                <c:pt idx="587">
                  <c:v>809.09792822390193</c:v>
                </c:pt>
                <c:pt idx="588">
                  <c:v>811.64060804513463</c:v>
                </c:pt>
                <c:pt idx="589">
                  <c:v>814.1816298858156</c:v>
                </c:pt>
                <c:pt idx="590">
                  <c:v>816.72101387893269</c:v>
                </c:pt>
                <c:pt idx="591">
                  <c:v>819.25877799634372</c:v>
                </c:pt>
                <c:pt idx="592">
                  <c:v>821.79493799621412</c:v>
                </c:pt>
                <c:pt idx="593">
                  <c:v>824.32950737663396</c:v>
                </c:pt>
                <c:pt idx="594">
                  <c:v>826.86249733644399</c:v>
                </c:pt>
                <c:pt idx="595">
                  <c:v>829.39391674421199</c:v>
                </c:pt>
                <c:pt idx="596">
                  <c:v>831.923772116176</c:v>
                </c:pt>
                <c:pt idx="597">
                  <c:v>834.45206760380654</c:v>
                </c:pt>
                <c:pt idx="598">
                  <c:v>836.97880499144617</c:v>
                </c:pt>
                <c:pt idx="599">
                  <c:v>839.50398370426228</c:v>
                </c:pt>
                <c:pt idx="600">
                  <c:v>842.02760082652242</c:v>
                </c:pt>
                <c:pt idx="601">
                  <c:v>844.54965112996513</c:v>
                </c:pt>
                <c:pt idx="602">
                  <c:v>847.07012711182233</c:v>
                </c:pt>
                <c:pt idx="603">
                  <c:v>849.58901904184813</c:v>
                </c:pt>
                <c:pt idx="604">
                  <c:v>852.10631501754335</c:v>
                </c:pt>
                <c:pt idx="605">
                  <c:v>854.62200102663428</c:v>
                </c:pt>
                <c:pt idx="606">
                  <c:v>857.13606101577454</c:v>
                </c:pt>
                <c:pt idx="607">
                  <c:v>859.6484769643929</c:v>
                </c:pt>
                <c:pt idx="608">
                  <c:v>862.15922896259747</c:v>
                </c:pt>
                <c:pt idx="609">
                  <c:v>864.66829529207632</c:v>
                </c:pt>
                <c:pt idx="610">
                  <c:v>867.17565250898417</c:v>
                </c:pt>
                <c:pt idx="611">
                  <c:v>869.68127552788496</c:v>
                </c:pt>
                <c:pt idx="612">
                  <c:v>872.18513770591051</c:v>
                </c:pt>
                <c:pt idx="613">
                  <c:v>874.68721092639623</c:v>
                </c:pt>
                <c:pt idx="614">
                  <c:v>877.18746568136157</c:v>
                </c:pt>
                <c:pt idx="615">
                  <c:v>879.68587115230628</c:v>
                </c:pt>
                <c:pt idx="616">
                  <c:v>882.18239528889296</c:v>
                </c:pt>
                <c:pt idx="617">
                  <c:v>884.67700488518142</c:v>
                </c:pt>
                <c:pt idx="618">
                  <c:v>887.16966565316159</c:v>
                </c:pt>
                <c:pt idx="619">
                  <c:v>889.66034229340869</c:v>
                </c:pt>
                <c:pt idx="620">
                  <c:v>892.14899856274917</c:v>
                </c:pt>
                <c:pt idx="621">
                  <c:v>894.63559733887871</c:v>
                </c:pt>
                <c:pt idx="622">
                  <c:v>897.12010068192228</c:v>
                </c:pt>
                <c:pt idx="623">
                  <c:v>899.60246989296206</c:v>
                </c:pt>
                <c:pt idx="624">
                  <c:v>902.08266556958824</c:v>
                </c:pt>
                <c:pt idx="625">
                  <c:v>904.56064765855376</c:v>
                </c:pt>
                <c:pt idx="626">
                  <c:v>907.03637550562712</c:v>
                </c:pt>
                <c:pt idx="627">
                  <c:v>909.50980790275446</c:v>
                </c:pt>
                <c:pt idx="628">
                  <c:v>911.98090313264674</c:v>
                </c:pt>
                <c:pt idx="629">
                  <c:v>914.44961901091517</c:v>
                </c:pt>
                <c:pt idx="630">
                  <c:v>916.91591292587964</c:v>
                </c:pt>
                <c:pt idx="631">
                  <c:v>919.37974187617465</c:v>
                </c:pt>
                <c:pt idx="632">
                  <c:v>921.8410625062761</c:v>
                </c:pt>
                <c:pt idx="633">
                  <c:v>924.29983114006995</c:v>
                </c:pt>
                <c:pt idx="634">
                  <c:v>926.75600381257823</c:v>
                </c:pt>
                <c:pt idx="635">
                  <c:v>929.2095362999554</c:v>
                </c:pt>
                <c:pt idx="636">
                  <c:v>931.66038414786181</c:v>
                </c:pt>
                <c:pt idx="637">
                  <c:v>934.10850269831565</c:v>
                </c:pt>
                <c:pt idx="638">
                  <c:v>936.55384711512045</c:v>
                </c:pt>
                <c:pt idx="639">
                  <c:v>938.99637240795823</c:v>
                </c:pt>
                <c:pt idx="640">
                  <c:v>941.43603345523479</c:v>
                </c:pt>
                <c:pt idx="641">
                  <c:v>943.87278502575646</c:v>
                </c:pt>
                <c:pt idx="642">
                  <c:v>946.30658179931402</c:v>
                </c:pt>
                <c:pt idx="643">
                  <c:v>948.73737838624379</c:v>
                </c:pt>
                <c:pt idx="644">
                  <c:v>951.16512934603156</c:v>
                </c:pt>
                <c:pt idx="645">
                  <c:v>953.58978920502057</c:v>
                </c:pt>
                <c:pt idx="646">
                  <c:v>956.0113124732801</c:v>
                </c:pt>
                <c:pt idx="647">
                  <c:v>958.42965366068813</c:v>
                </c:pt>
                <c:pt idx="648">
                  <c:v>960.84476729227708</c:v>
                </c:pt>
                <c:pt idx="649">
                  <c:v>963.25660792288807</c:v>
                </c:pt>
                <c:pt idx="650">
                  <c:v>965.66513015117721</c:v>
                </c:pt>
                <c:pt idx="651">
                  <c:v>968.0702886330123</c:v>
                </c:pt>
                <c:pt idx="652">
                  <c:v>970.47203809429755</c:v>
                </c:pt>
                <c:pt idx="653">
                  <c:v>972.87033334325952</c:v>
                </c:pt>
                <c:pt idx="654">
                  <c:v>975.26512928222689</c:v>
                </c:pt>
                <c:pt idx="655">
                  <c:v>977.65638091893254</c:v>
                </c:pt>
                <c:pt idx="656">
                  <c:v>980.04404337736571</c:v>
                </c:pt>
                <c:pt idx="657">
                  <c:v>982.42807190819951</c:v>
                </c:pt>
                <c:pt idx="658">
                  <c:v>984.80842189881719</c:v>
                </c:pt>
                <c:pt idx="659">
                  <c:v>987.18504888295899</c:v>
                </c:pt>
                <c:pt idx="660">
                  <c:v>989.55790855001021</c:v>
                </c:pt>
                <c:pt idx="661">
                  <c:v>991.92695675394873</c:v>
                </c:pt>
                <c:pt idx="662">
                  <c:v>994.29214952197026</c:v>
                </c:pt>
                <c:pt idx="663">
                  <c:v>996.65344306280724</c:v>
                </c:pt>
                <c:pt idx="664">
                  <c:v>999.01079377475673</c:v>
                </c:pt>
                <c:pt idx="665">
                  <c:v>1001.364158253431</c:v>
                </c:pt>
                <c:pt idx="666">
                  <c:v>1003.7134932992449</c:v>
                </c:pt>
                <c:pt idx="667">
                  <c:v>1006.058755924651</c:v>
                </c:pt>
                <c:pt idx="668">
                  <c:v>1008.3999033611357</c:v>
                </c:pt>
                <c:pt idx="669">
                  <c:v>1010.7368930659845</c:v>
                </c:pt>
                <c:pt idx="670">
                  <c:v>1013.0696827288293</c:v>
                </c:pt>
                <c:pt idx="671">
                  <c:v>1015.3982302779842</c:v>
                </c:pt>
                <c:pt idx="672">
                  <c:v>1017.7224938865804</c:v>
                </c:pt>
                <c:pt idx="673">
                  <c:v>1020.0424319785077</c:v>
                </c:pt>
                <c:pt idx="674">
                  <c:v>1022.3580032341696</c:v>
                </c:pt>
                <c:pt idx="675">
                  <c:v>1024.66916659606</c:v>
                </c:pt>
                <c:pt idx="676">
                  <c:v>1026.9758812741673</c:v>
                </c:pt>
                <c:pt idx="677">
                  <c:v>1029.2781067512126</c:v>
                </c:pt>
                <c:pt idx="678">
                  <c:v>1031.5758027877282</c:v>
                </c:pt>
                <c:pt idx="679">
                  <c:v>1033.86892942698</c:v>
                </c:pt>
                <c:pt idx="680">
                  <c:v>1036.1574469997411</c:v>
                </c:pt>
                <c:pt idx="681">
                  <c:v>1038.4413161289208</c:v>
                </c:pt>
                <c:pt idx="682">
                  <c:v>1040.7204977340516</c:v>
                </c:pt>
                <c:pt idx="683">
                  <c:v>1042.9949530356414</c:v>
                </c:pt>
                <c:pt idx="684">
                  <c:v>1045.2646435593927</c:v>
                </c:pt>
                <c:pt idx="685">
                  <c:v>1047.5295311402933</c:v>
                </c:pt>
                <c:pt idx="686">
                  <c:v>1049.7895779265821</c:v>
                </c:pt>
                <c:pt idx="687">
                  <c:v>1052.0447463835922</c:v>
                </c:pt>
                <c:pt idx="688">
                  <c:v>1054.294999297477</c:v>
                </c:pt>
                <c:pt idx="689">
                  <c:v>1056.5402997788192</c:v>
                </c:pt>
                <c:pt idx="690">
                  <c:v>1058.7806112661262</c:v>
                </c:pt>
                <c:pt idx="691">
                  <c:v>1061.0158975292175</c:v>
                </c:pt>
                <c:pt idx="692">
                  <c:v>1063.2461226725013</c:v>
                </c:pt>
                <c:pt idx="693">
                  <c:v>1065.4712511381483</c:v>
                </c:pt>
                <c:pt idx="694">
                  <c:v>1067.6912477091596</c:v>
                </c:pt>
                <c:pt idx="695">
                  <c:v>1069.9060775123351</c:v>
                </c:pt>
                <c:pt idx="696">
                  <c:v>1072.1157060211417</c:v>
                </c:pt>
                <c:pt idx="697">
                  <c:v>1074.3200990584846</c:v>
                </c:pt>
                <c:pt idx="698">
                  <c:v>1076.5192227993823</c:v>
                </c:pt>
                <c:pt idx="699">
                  <c:v>1078.7130437735491</c:v>
                </c:pt>
                <c:pt idx="700">
                  <c:v>1080.9015288678836</c:v>
                </c:pt>
                <c:pt idx="701">
                  <c:v>1083.0846453288675</c:v>
                </c:pt>
                <c:pt idx="702">
                  <c:v>1085.2623607648757</c:v>
                </c:pt>
                <c:pt idx="703">
                  <c:v>1087.4346431483971</c:v>
                </c:pt>
                <c:pt idx="704">
                  <c:v>1089.6014608181699</c:v>
                </c:pt>
                <c:pt idx="705">
                  <c:v>1091.7627824812325</c:v>
                </c:pt>
                <c:pt idx="706">
                  <c:v>1093.9185772148887</c:v>
                </c:pt>
                <c:pt idx="707">
                  <c:v>1096.0688144685914</c:v>
                </c:pt>
                <c:pt idx="708">
                  <c:v>1098.2134640657448</c:v>
                </c:pt>
                <c:pt idx="709">
                  <c:v>1100.3524962054257</c:v>
                </c:pt>
                <c:pt idx="710">
                  <c:v>1102.4858814640263</c:v>
                </c:pt>
                <c:pt idx="711">
                  <c:v>1104.6135907968169</c:v>
                </c:pt>
                <c:pt idx="712">
                  <c:v>1106.7355955394337</c:v>
                </c:pt>
                <c:pt idx="713">
                  <c:v>1108.8518674092884</c:v>
                </c:pt>
                <c:pt idx="714">
                  <c:v>1110.9623785069032</c:v>
                </c:pt>
                <c:pt idx="715">
                  <c:v>1113.0671013171711</c:v>
                </c:pt>
                <c:pt idx="716">
                  <c:v>1115.1660087105433</c:v>
                </c:pt>
                <c:pt idx="717">
                  <c:v>1117.2590739441428</c:v>
                </c:pt>
                <c:pt idx="718">
                  <c:v>1119.3462706628065</c:v>
                </c:pt>
                <c:pt idx="719">
                  <c:v>1121.4275729000574</c:v>
                </c:pt>
                <c:pt idx="720">
                  <c:v>1123.5029550790043</c:v>
                </c:pt>
                <c:pt idx="721">
                  <c:v>1125.572392013175</c:v>
                </c:pt>
                <c:pt idx="722">
                  <c:v>1127.6358589072781</c:v>
                </c:pt>
                <c:pt idx="723">
                  <c:v>1129.6933313578986</c:v>
                </c:pt>
                <c:pt idx="724">
                  <c:v>1131.744785354126</c:v>
                </c:pt>
                <c:pt idx="725">
                  <c:v>1133.7901972781156</c:v>
                </c:pt>
                <c:pt idx="726">
                  <c:v>1135.8295439055848</c:v>
                </c:pt>
                <c:pt idx="727">
                  <c:v>1137.8628024062443</c:v>
                </c:pt>
                <c:pt idx="728">
                  <c:v>1139.8899503441646</c:v>
                </c:pt>
                <c:pt idx="729">
                  <c:v>1141.9109656780797</c:v>
                </c:pt>
                <c:pt idx="730">
                  <c:v>1143.9258267616276</c:v>
                </c:pt>
                <c:pt idx="731">
                  <c:v>1145.9345123435287</c:v>
                </c:pt>
                <c:pt idx="732">
                  <c:v>1147.937001567703</c:v>
                </c:pt>
                <c:pt idx="733">
                  <c:v>1149.9332739733263</c:v>
                </c:pt>
                <c:pt idx="734">
                  <c:v>1151.9233094948265</c:v>
                </c:pt>
                <c:pt idx="735">
                  <c:v>1153.9070884618206</c:v>
                </c:pt>
                <c:pt idx="736">
                  <c:v>1155.8845915989928</c:v>
                </c:pt>
                <c:pt idx="737">
                  <c:v>1157.8558000259138</c:v>
                </c:pt>
                <c:pt idx="738">
                  <c:v>1159.8206952568055</c:v>
                </c:pt>
                <c:pt idx="739">
                  <c:v>1161.7792592002447</c:v>
                </c:pt>
                <c:pt idx="740">
                  <c:v>1163.731474158815</c:v>
                </c:pt>
                <c:pt idx="741">
                  <c:v>1165.6773228287</c:v>
                </c:pt>
                <c:pt idx="742">
                  <c:v>1167.6167882992236</c:v>
                </c:pt>
                <c:pt idx="743">
                  <c:v>1169.5498540523358</c:v>
                </c:pt>
                <c:pt idx="744">
                  <c:v>1171.4765039620452</c:v>
                </c:pt>
                <c:pt idx="745">
                  <c:v>1173.3967222937979</c:v>
                </c:pt>
                <c:pt idx="746">
                  <c:v>1175.3104937038054</c:v>
                </c:pt>
                <c:pt idx="747">
                  <c:v>1177.2178032383208</c:v>
                </c:pt>
                <c:pt idx="748">
                  <c:v>1179.1186363328634</c:v>
                </c:pt>
                <c:pt idx="749">
                  <c:v>1181.0129788113941</c:v>
                </c:pt>
                <c:pt idx="750">
                  <c:v>1182.9008168854409</c:v>
                </c:pt>
                <c:pt idx="751">
                  <c:v>1184.7821371531759</c:v>
                </c:pt>
                <c:pt idx="752">
                  <c:v>1186.6569265984433</c:v>
                </c:pt>
                <c:pt idx="753">
                  <c:v>1188.525172589741</c:v>
                </c:pt>
                <c:pt idx="754">
                  <c:v>1190.3868628791547</c:v>
                </c:pt>
                <c:pt idx="755">
                  <c:v>1192.2419856012461</c:v>
                </c:pt>
                <c:pt idx="756">
                  <c:v>1194.0905292718953</c:v>
                </c:pt>
                <c:pt idx="757">
                  <c:v>1195.9324827870985</c:v>
                </c:pt>
                <c:pt idx="758">
                  <c:v>1197.7678354217214</c:v>
                </c:pt>
                <c:pt idx="759">
                  <c:v>1199.5965768282101</c:v>
                </c:pt>
                <c:pt idx="760">
                  <c:v>1201.4186970352571</c:v>
                </c:pt>
                <c:pt idx="761">
                  <c:v>1203.234186446427</c:v>
                </c:pt>
                <c:pt idx="762">
                  <c:v>1205.0430358387396</c:v>
                </c:pt>
                <c:pt idx="763">
                  <c:v>1206.845236361213</c:v>
                </c:pt>
                <c:pt idx="764">
                  <c:v>1208.6407795333653</c:v>
                </c:pt>
                <c:pt idx="765">
                  <c:v>1210.4296572436781</c:v>
                </c:pt>
                <c:pt idx="766">
                  <c:v>1212.2118617480207</c:v>
                </c:pt>
                <c:pt idx="767">
                  <c:v>1213.9873856680358</c:v>
                </c:pt>
                <c:pt idx="768">
                  <c:v>1215.7562219894876</c:v>
                </c:pt>
                <c:pt idx="769">
                  <c:v>1217.5183640605742</c:v>
                </c:pt>
                <c:pt idx="770">
                  <c:v>1219.2738055902028</c:v>
                </c:pt>
                <c:pt idx="771">
                  <c:v>1221.0225406462291</c:v>
                </c:pt>
                <c:pt idx="772">
                  <c:v>1222.7645636536638</c:v>
                </c:pt>
                <c:pt idx="773">
                  <c:v>1224.4998693928426</c:v>
                </c:pt>
                <c:pt idx="774">
                  <c:v>1226.2284529975641</c:v>
                </c:pt>
                <c:pt idx="775">
                  <c:v>1227.9503099531953</c:v>
                </c:pt>
                <c:pt idx="776">
                  <c:v>1229.6654360947437</c:v>
                </c:pt>
                <c:pt idx="777">
                  <c:v>1231.3738276048987</c:v>
                </c:pt>
                <c:pt idx="778">
                  <c:v>1233.0754810120427</c:v>
                </c:pt>
                <c:pt idx="779">
                  <c:v>1234.7703931882313</c:v>
                </c:pt>
                <c:pt idx="780">
                  <c:v>1236.4585613471443</c:v>
                </c:pt>
                <c:pt idx="781">
                  <c:v>1238.139983042008</c:v>
                </c:pt>
                <c:pt idx="782">
                  <c:v>1239.8146561634901</c:v>
                </c:pt>
                <c:pt idx="783">
                  <c:v>1241.4825789375661</c:v>
                </c:pt>
                <c:pt idx="784">
                  <c:v>1243.1437499233593</c:v>
                </c:pt>
                <c:pt idx="785">
                  <c:v>1244.7981680109554</c:v>
                </c:pt>
                <c:pt idx="786">
                  <c:v>1246.4458324191905</c:v>
                </c:pt>
                <c:pt idx="787">
                  <c:v>1248.0867426934155</c:v>
                </c:pt>
                <c:pt idx="788">
                  <c:v>1249.7208987032361</c:v>
                </c:pt>
                <c:pt idx="789">
                  <c:v>1251.3483006402284</c:v>
                </c:pt>
                <c:pt idx="790">
                  <c:v>1252.9689490156336</c:v>
                </c:pt>
                <c:pt idx="791">
                  <c:v>1254.5828446580285</c:v>
                </c:pt>
                <c:pt idx="792">
                  <c:v>1256.1899887109764</c:v>
                </c:pt>
                <c:pt idx="793">
                  <c:v>1257.7903826306556</c:v>
                </c:pt>
                <c:pt idx="794">
                  <c:v>1259.3840281834691</c:v>
                </c:pt>
                <c:pt idx="795">
                  <c:v>1260.9709274436336</c:v>
                </c:pt>
                <c:pt idx="796">
                  <c:v>1262.5510827907506</c:v>
                </c:pt>
                <c:pt idx="797">
                  <c:v>1264.1244969073584</c:v>
                </c:pt>
                <c:pt idx="798">
                  <c:v>1265.6911727764675</c:v>
                </c:pt>
                <c:pt idx="799">
                  <c:v>1267.2511136790777</c:v>
                </c:pt>
                <c:pt idx="800">
                  <c:v>1268.8043231916799</c:v>
                </c:pt>
                <c:pt idx="801">
                  <c:v>1270.3508051837423</c:v>
                </c:pt>
                <c:pt idx="802">
                  <c:v>1271.89056381518</c:v>
                </c:pt>
                <c:pt idx="803">
                  <c:v>1273.4236035338124</c:v>
                </c:pt>
                <c:pt idx="804">
                  <c:v>1274.9499290728045</c:v>
                </c:pt>
                <c:pt idx="805">
                  <c:v>1276.4695454480964</c:v>
                </c:pt>
                <c:pt idx="806">
                  <c:v>1277.9824579558197</c:v>
                </c:pt>
                <c:pt idx="807">
                  <c:v>1279.4886721697017</c:v>
                </c:pt>
                <c:pt idx="808">
                  <c:v>1280.9881939384579</c:v>
                </c:pt>
                <c:pt idx="809">
                  <c:v>1282.4810293831749</c:v>
                </c:pt>
                <c:pt idx="810">
                  <c:v>1283.9671848946816</c:v>
                </c:pt>
                <c:pt idx="811">
                  <c:v>1285.4466671309108</c:v>
                </c:pt>
                <c:pt idx="812">
                  <c:v>1286.919483014253</c:v>
                </c:pt>
                <c:pt idx="813">
                  <c:v>1288.3856397289003</c:v>
                </c:pt>
                <c:pt idx="814">
                  <c:v>1289.8451447181826</c:v>
                </c:pt>
                <c:pt idx="815">
                  <c:v>1291.2980056818972</c:v>
                </c:pt>
                <c:pt idx="816">
                  <c:v>1292.7442305736304</c:v>
                </c:pt>
                <c:pt idx="817">
                  <c:v>1294.183827598074</c:v>
                </c:pt>
                <c:pt idx="818">
                  <c:v>1295.6168052083349</c:v>
                </c:pt>
                <c:pt idx="819">
                  <c:v>1297.0431721032401</c:v>
                </c:pt>
                <c:pt idx="820">
                  <c:v>1298.462937224637</c:v>
                </c:pt>
                <c:pt idx="821">
                  <c:v>1299.8761097546897</c:v>
                </c:pt>
                <c:pt idx="822">
                  <c:v>1301.2826991131712</c:v>
                </c:pt>
                <c:pt idx="823">
                  <c:v>1302.6827149547535</c:v>
                </c:pt>
                <c:pt idx="824">
                  <c:v>1304.0761671662933</c:v>
                </c:pt>
                <c:pt idx="825">
                  <c:v>1305.4630658641181</c:v>
                </c:pt>
                <c:pt idx="826">
                  <c:v>1306.8434213913083</c:v>
                </c:pt>
                <c:pt idx="827">
                  <c:v>1308.2172443149802</c:v>
                </c:pt>
                <c:pt idx="828">
                  <c:v>1309.5845454235671</c:v>
                </c:pt>
                <c:pt idx="829">
                  <c:v>1310.9453357241007</c:v>
                </c:pt>
                <c:pt idx="830">
                  <c:v>1312.2996264394937</c:v>
                </c:pt>
                <c:pt idx="831">
                  <c:v>1313.6474290058222</c:v>
                </c:pt>
                <c:pt idx="832">
                  <c:v>1314.9887550696089</c:v>
                </c:pt>
                <c:pt idx="833">
                  <c:v>1316.3236164851105</c:v>
                </c:pt>
                <c:pt idx="834">
                  <c:v>1317.6520253116046</c:v>
                </c:pt>
                <c:pt idx="835">
                  <c:v>1318.9739938106809</c:v>
                </c:pt>
                <c:pt idx="836">
                  <c:v>1320.2895344435353</c:v>
                </c:pt>
                <c:pt idx="837">
                  <c:v>1321.5986598682671</c:v>
                </c:pt>
                <c:pt idx="838">
                  <c:v>1322.90138293718</c:v>
                </c:pt>
                <c:pt idx="839">
                  <c:v>1324.197716694089</c:v>
                </c:pt>
                <c:pt idx="840">
                  <c:v>1325.48767437163</c:v>
                </c:pt>
                <c:pt idx="841">
                  <c:v>1326.7712693885762</c:v>
                </c:pt>
                <c:pt idx="842">
                  <c:v>1328.04851534716</c:v>
                </c:pt>
                <c:pt idx="843">
                  <c:v>1329.3194260303992</c:v>
                </c:pt>
                <c:pt idx="844">
                  <c:v>1330.5840153994322</c:v>
                </c:pt>
                <c:pt idx="845">
                  <c:v>1331.8422975908584</c:v>
                </c:pt>
                <c:pt idx="846">
                  <c:v>1333.0942869140852</c:v>
                </c:pt>
                <c:pt idx="847">
                  <c:v>1334.3399978486848</c:v>
                </c:pt>
                <c:pt idx="848">
                  <c:v>1335.5794450417561</c:v>
                </c:pt>
                <c:pt idx="849">
                  <c:v>1336.8126433052969</c:v>
                </c:pt>
                <c:pt idx="850">
                  <c:v>1338.0396076135842</c:v>
                </c:pt>
                <c:pt idx="851">
                  <c:v>1339.2603531005623</c:v>
                </c:pt>
                <c:pt idx="852">
                  <c:v>1340.4748950572416</c:v>
                </c:pt>
                <c:pt idx="853">
                  <c:v>1341.6832489291066</c:v>
                </c:pt>
                <c:pt idx="854">
                  <c:v>1342.8854303135333</c:v>
                </c:pt>
                <c:pt idx="855">
                  <c:v>1344.0814549572171</c:v>
                </c:pt>
                <c:pt idx="856">
                  <c:v>1345.2713387536112</c:v>
                </c:pt>
                <c:pt idx="857">
                  <c:v>1346.455097740376</c:v>
                </c:pt>
                <c:pt idx="858">
                  <c:v>1347.6327480968396</c:v>
                </c:pt>
                <c:pt idx="859">
                  <c:v>1348.8043061414689</c:v>
                </c:pt>
                <c:pt idx="860">
                  <c:v>1349.9697883293538</c:v>
                </c:pt>
                <c:pt idx="861">
                  <c:v>1351.1292112497019</c:v>
                </c:pt>
                <c:pt idx="862">
                  <c:v>1352.2825916233467</c:v>
                </c:pt>
                <c:pt idx="863">
                  <c:v>1353.4299463002667</c:v>
                </c:pt>
                <c:pt idx="864">
                  <c:v>1354.5712922571192</c:v>
                </c:pt>
                <c:pt idx="865">
                  <c:v>1355.7066465947851</c:v>
                </c:pt>
                <c:pt idx="866">
                  <c:v>1356.8360265359283</c:v>
                </c:pt>
                <c:pt idx="867">
                  <c:v>1357.9594494225682</c:v>
                </c:pt>
                <c:pt idx="868">
                  <c:v>1359.076932713665</c:v>
                </c:pt>
                <c:pt idx="869">
                  <c:v>1360.18849398272</c:v>
                </c:pt>
                <c:pt idx="870">
                  <c:v>1361.29415091539</c:v>
                </c:pt>
                <c:pt idx="871">
                  <c:v>1362.3939213071146</c:v>
                </c:pt>
                <c:pt idx="872">
                  <c:v>1363.4878230607599</c:v>
                </c:pt>
                <c:pt idx="873">
                  <c:v>1364.5758741842753</c:v>
                </c:pt>
                <c:pt idx="874">
                  <c:v>1365.6580927883667</c:v>
                </c:pt>
                <c:pt idx="875">
                  <c:v>1366.7344970841827</c:v>
                </c:pt>
                <c:pt idx="876">
                  <c:v>1367.8051053810186</c:v>
                </c:pt>
                <c:pt idx="877">
                  <c:v>1368.8699360840337</c:v>
                </c:pt>
                <c:pt idx="878">
                  <c:v>1369.9290076919849</c:v>
                </c:pt>
                <c:pt idx="879">
                  <c:v>1370.9823387949766</c:v>
                </c:pt>
                <c:pt idx="880">
                  <c:v>1372.0299480722256</c:v>
                </c:pt>
                <c:pt idx="881">
                  <c:v>1373.0718542898428</c:v>
                </c:pt>
                <c:pt idx="882">
                  <c:v>1374.1080762986305</c:v>
                </c:pt>
                <c:pt idx="883">
                  <c:v>1375.1386330318962</c:v>
                </c:pt>
                <c:pt idx="884">
                  <c:v>1376.1635435032829</c:v>
                </c:pt>
                <c:pt idx="885">
                  <c:v>1377.1828268046158</c:v>
                </c:pt>
                <c:pt idx="886">
                  <c:v>1378.1965021037665</c:v>
                </c:pt>
                <c:pt idx="887">
                  <c:v>1379.2045886425324</c:v>
                </c:pt>
                <c:pt idx="888">
                  <c:v>1380.2071057345345</c:v>
                </c:pt>
                <c:pt idx="889">
                  <c:v>1381.2040727631313</c:v>
                </c:pt>
                <c:pt idx="890">
                  <c:v>1382.1955091793507</c:v>
                </c:pt>
                <c:pt idx="891">
                  <c:v>1383.1814344998379</c:v>
                </c:pt>
                <c:pt idx="892">
                  <c:v>1384.1618683048216</c:v>
                </c:pt>
                <c:pt idx="893">
                  <c:v>1385.136830236097</c:v>
                </c:pt>
                <c:pt idx="894">
                  <c:v>1386.1063399950265</c:v>
                </c:pt>
                <c:pt idx="895">
                  <c:v>1387.0704173405577</c:v>
                </c:pt>
                <c:pt idx="896">
                  <c:v>1388.0290820872594</c:v>
                </c:pt>
                <c:pt idx="897">
                  <c:v>1388.982354103375</c:v>
                </c:pt>
                <c:pt idx="898">
                  <c:v>1389.9302533088926</c:v>
                </c:pt>
                <c:pt idx="899">
                  <c:v>1390.872799673635</c:v>
                </c:pt>
                <c:pt idx="900">
                  <c:v>1391.8100132153659</c:v>
                </c:pt>
                <c:pt idx="901">
                  <c:v>1392.7419139979138</c:v>
                </c:pt>
                <c:pt idx="902">
                  <c:v>1393.6685221293151</c:v>
                </c:pt>
                <c:pt idx="903">
                  <c:v>1394.5898577599735</c:v>
                </c:pt>
                <c:pt idx="904">
                  <c:v>1395.505941080839</c:v>
                </c:pt>
                <c:pt idx="905">
                  <c:v>1396.4167923216035</c:v>
                </c:pt>
                <c:pt idx="906">
                  <c:v>1397.3224317489146</c:v>
                </c:pt>
                <c:pt idx="907">
                  <c:v>1398.2228796646084</c:v>
                </c:pt>
                <c:pt idx="908">
                  <c:v>1399.1181564039596</c:v>
                </c:pt>
                <c:pt idx="909">
                  <c:v>1400.0082823339487</c:v>
                </c:pt>
                <c:pt idx="910">
                  <c:v>1400.8932778515493</c:v>
                </c:pt>
                <c:pt idx="911">
                  <c:v>1401.7731633820315</c:v>
                </c:pt>
                <c:pt idx="912">
                  <c:v>1402.6479593772849</c:v>
                </c:pt>
                <c:pt idx="913">
                  <c:v>1403.517686314158</c:v>
                </c:pt>
                <c:pt idx="914">
                  <c:v>1404.3823646928172</c:v>
                </c:pt>
                <c:pt idx="915">
                  <c:v>1405.2420150351224</c:v>
                </c:pt>
                <c:pt idx="916">
                  <c:v>1406.0966578830221</c:v>
                </c:pt>
                <c:pt idx="917">
                  <c:v>1406.9463137969649</c:v>
                </c:pt>
                <c:pt idx="918">
                  <c:v>1407.7910033543296</c:v>
                </c:pt>
                <c:pt idx="919">
                  <c:v>1408.6307471478742</c:v>
                </c:pt>
                <c:pt idx="920">
                  <c:v>1409.4655657842004</c:v>
                </c:pt>
                <c:pt idx="921">
                  <c:v>1410.2954798822386</c:v>
                </c:pt>
                <c:pt idx="922">
                  <c:v>1411.1205100717489</c:v>
                </c:pt>
                <c:pt idx="923">
                  <c:v>1411.9406769918407</c:v>
                </c:pt>
                <c:pt idx="924">
                  <c:v>1412.7560012895096</c:v>
                </c:pt>
                <c:pt idx="925">
                  <c:v>1413.5665036181922</c:v>
                </c:pt>
                <c:pt idx="926">
                  <c:v>1414.3722046363384</c:v>
                </c:pt>
                <c:pt idx="927">
                  <c:v>1415.1731250060018</c:v>
                </c:pt>
                <c:pt idx="928">
                  <c:v>1415.9692853914469</c:v>
                </c:pt>
                <c:pt idx="929">
                  <c:v>1416.7607064577739</c:v>
                </c:pt>
                <c:pt idx="930">
                  <c:v>1416.7607064577739</c:v>
                </c:pt>
                <c:pt idx="931">
                  <c:v>1416.7607064577739</c:v>
                </c:pt>
                <c:pt idx="932">
                  <c:v>1416.7607064577739</c:v>
                </c:pt>
                <c:pt idx="933">
                  <c:v>1416.7607064577739</c:v>
                </c:pt>
                <c:pt idx="934">
                  <c:v>1416.7607064577739</c:v>
                </c:pt>
                <c:pt idx="935">
                  <c:v>1416.7607064577739</c:v>
                </c:pt>
                <c:pt idx="936">
                  <c:v>1416.7607064577739</c:v>
                </c:pt>
                <c:pt idx="937">
                  <c:v>1416.7607064577739</c:v>
                </c:pt>
                <c:pt idx="938">
                  <c:v>1416.7607064577739</c:v>
                </c:pt>
                <c:pt idx="939">
                  <c:v>1416.7607064577739</c:v>
                </c:pt>
                <c:pt idx="940">
                  <c:v>1416.7607064577739</c:v>
                </c:pt>
                <c:pt idx="941">
                  <c:v>1416.7607064577739</c:v>
                </c:pt>
                <c:pt idx="942">
                  <c:v>1416.7607064577739</c:v>
                </c:pt>
                <c:pt idx="943">
                  <c:v>1416.7607064577739</c:v>
                </c:pt>
                <c:pt idx="944">
                  <c:v>1416.7607064577739</c:v>
                </c:pt>
                <c:pt idx="945">
                  <c:v>1416.7607064577739</c:v>
                </c:pt>
                <c:pt idx="946">
                  <c:v>1416.7607064577739</c:v>
                </c:pt>
                <c:pt idx="947">
                  <c:v>1416.7607064577739</c:v>
                </c:pt>
                <c:pt idx="948">
                  <c:v>1416.7607064577739</c:v>
                </c:pt>
                <c:pt idx="949">
                  <c:v>1416.7607064577739</c:v>
                </c:pt>
                <c:pt idx="950">
                  <c:v>1416.7607064577739</c:v>
                </c:pt>
                <c:pt idx="951">
                  <c:v>1416.7607064577739</c:v>
                </c:pt>
                <c:pt idx="952">
                  <c:v>1416.7607064577739</c:v>
                </c:pt>
                <c:pt idx="953">
                  <c:v>1416.7607064577739</c:v>
                </c:pt>
                <c:pt idx="954">
                  <c:v>1416.7607064577739</c:v>
                </c:pt>
                <c:pt idx="955">
                  <c:v>1416.7607064577739</c:v>
                </c:pt>
                <c:pt idx="956">
                  <c:v>1416.7607064577739</c:v>
                </c:pt>
                <c:pt idx="957">
                  <c:v>1416.7607064577739</c:v>
                </c:pt>
                <c:pt idx="958">
                  <c:v>1416.7607064577739</c:v>
                </c:pt>
                <c:pt idx="959">
                  <c:v>1416.7607064577739</c:v>
                </c:pt>
                <c:pt idx="960">
                  <c:v>1416.7607064577739</c:v>
                </c:pt>
                <c:pt idx="961">
                  <c:v>1416.7607064577739</c:v>
                </c:pt>
                <c:pt idx="962">
                  <c:v>1416.7607064577739</c:v>
                </c:pt>
                <c:pt idx="963">
                  <c:v>1416.7607064577739</c:v>
                </c:pt>
                <c:pt idx="964">
                  <c:v>1416.7607064577739</c:v>
                </c:pt>
                <c:pt idx="965">
                  <c:v>1416.7607064577739</c:v>
                </c:pt>
                <c:pt idx="966">
                  <c:v>1416.7607064577739</c:v>
                </c:pt>
                <c:pt idx="967">
                  <c:v>1416.7607064577739</c:v>
                </c:pt>
                <c:pt idx="968">
                  <c:v>1416.7607064577739</c:v>
                </c:pt>
                <c:pt idx="969">
                  <c:v>1416.7607064577739</c:v>
                </c:pt>
                <c:pt idx="970">
                  <c:v>1416.7607064577739</c:v>
                </c:pt>
                <c:pt idx="971">
                  <c:v>1416.7607064577739</c:v>
                </c:pt>
                <c:pt idx="972">
                  <c:v>1416.7607064577739</c:v>
                </c:pt>
                <c:pt idx="973">
                  <c:v>1416.7607064577739</c:v>
                </c:pt>
                <c:pt idx="974">
                  <c:v>1416.7607064577739</c:v>
                </c:pt>
                <c:pt idx="975">
                  <c:v>1416.7607064577739</c:v>
                </c:pt>
                <c:pt idx="976">
                  <c:v>1416.7607064577739</c:v>
                </c:pt>
                <c:pt idx="977">
                  <c:v>1416.7607064577739</c:v>
                </c:pt>
                <c:pt idx="978">
                  <c:v>1416.7607064577739</c:v>
                </c:pt>
                <c:pt idx="979">
                  <c:v>1416.7607064577739</c:v>
                </c:pt>
                <c:pt idx="980">
                  <c:v>1416.7607064577739</c:v>
                </c:pt>
                <c:pt idx="981">
                  <c:v>1416.7607064577739</c:v>
                </c:pt>
                <c:pt idx="982">
                  <c:v>1416.7607064577739</c:v>
                </c:pt>
                <c:pt idx="983">
                  <c:v>1416.7607064577739</c:v>
                </c:pt>
                <c:pt idx="984">
                  <c:v>1416.7607064577739</c:v>
                </c:pt>
                <c:pt idx="985">
                  <c:v>1416.7607064577739</c:v>
                </c:pt>
                <c:pt idx="986">
                  <c:v>1416.7607064577739</c:v>
                </c:pt>
                <c:pt idx="987">
                  <c:v>1416.7607064577739</c:v>
                </c:pt>
                <c:pt idx="988">
                  <c:v>1416.7607064577739</c:v>
                </c:pt>
                <c:pt idx="989">
                  <c:v>1416.7607064577739</c:v>
                </c:pt>
                <c:pt idx="990">
                  <c:v>1416.7607064577739</c:v>
                </c:pt>
                <c:pt idx="991">
                  <c:v>1416.7607064577739</c:v>
                </c:pt>
                <c:pt idx="992">
                  <c:v>1416.7607064577739</c:v>
                </c:pt>
                <c:pt idx="993">
                  <c:v>1416.7607064577739</c:v>
                </c:pt>
                <c:pt idx="994">
                  <c:v>1416.7607064577739</c:v>
                </c:pt>
                <c:pt idx="995">
                  <c:v>1416.7607064577739</c:v>
                </c:pt>
                <c:pt idx="996">
                  <c:v>1416.7607064577739</c:v>
                </c:pt>
                <c:pt idx="997">
                  <c:v>1416.7607064577739</c:v>
                </c:pt>
                <c:pt idx="998">
                  <c:v>1416.7607064577739</c:v>
                </c:pt>
                <c:pt idx="999">
                  <c:v>1416.7607064577739</c:v>
                </c:pt>
                <c:pt idx="1000">
                  <c:v>1416.7607064577739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358.22</c:v>
                </c:pt>
                <c:pt idx="1">
                  <c:v>359.48699323120798</c:v>
                </c:pt>
                <c:pt idx="2">
                  <c:v>360.75517890128333</c:v>
                </c:pt>
                <c:pt idx="3">
                  <c:v>362.02720502605382</c:v>
                </c:pt>
                <c:pt idx="4">
                  <c:v>363.30571997979428</c:v>
                </c:pt>
                <c:pt idx="5">
                  <c:v>364.59337354548046</c:v>
                </c:pt>
                <c:pt idx="6">
                  <c:v>365.89214634546295</c:v>
                </c:pt>
                <c:pt idx="7">
                  <c:v>367.20267761929568</c:v>
                </c:pt>
                <c:pt idx="8">
                  <c:v>368.5249352923118</c:v>
                </c:pt>
                <c:pt idx="9">
                  <c:v>369.8588871748924</c:v>
                </c:pt>
                <c:pt idx="10">
                  <c:v>371.20450096316586</c:v>
                </c:pt>
                <c:pt idx="11">
                  <c:v>372.56174423971169</c:v>
                </c:pt>
                <c:pt idx="12">
                  <c:v>373.9305844742687</c:v>
                </c:pt>
                <c:pt idx="13">
                  <c:v>375.31098902444791</c:v>
                </c:pt>
                <c:pt idx="14">
                  <c:v>376.70292513644944</c:v>
                </c:pt>
                <c:pt idx="15">
                  <c:v>378.10635994578399</c:v>
                </c:pt>
                <c:pt idx="16">
                  <c:v>379.52126047799817</c:v>
                </c:pt>
                <c:pt idx="17">
                  <c:v>380.94759364940404</c:v>
                </c:pt>
                <c:pt idx="18">
                  <c:v>382.38532626781262</c:v>
                </c:pt>
                <c:pt idx="19">
                  <c:v>383.8344250332712</c:v>
                </c:pt>
                <c:pt idx="20">
                  <c:v>385.29485653880454</c:v>
                </c:pt>
                <c:pt idx="21">
                  <c:v>386.76658727115984</c:v>
                </c:pt>
                <c:pt idx="22">
                  <c:v>388.24958361155512</c:v>
                </c:pt>
                <c:pt idx="23">
                  <c:v>389.74381183643141</c:v>
                </c:pt>
                <c:pt idx="24">
                  <c:v>391.24923811820821</c:v>
                </c:pt>
                <c:pt idx="25">
                  <c:v>392.76582852604253</c:v>
                </c:pt>
                <c:pt idx="26">
                  <c:v>394.29354902659088</c:v>
                </c:pt>
                <c:pt idx="27">
                  <c:v>395.83236548477504</c:v>
                </c:pt>
                <c:pt idx="28">
                  <c:v>397.38224366455046</c:v>
                </c:pt>
                <c:pt idx="29">
                  <c:v>398.94314922967789</c:v>
                </c:pt>
                <c:pt idx="30">
                  <c:v>400.51504774449819</c:v>
                </c:pt>
                <c:pt idx="31">
                  <c:v>402.09790467470981</c:v>
                </c:pt>
                <c:pt idx="32">
                  <c:v>403.6916853881491</c:v>
                </c:pt>
                <c:pt idx="33">
                  <c:v>405.29635515557356</c:v>
                </c:pt>
                <c:pt idx="34">
                  <c:v>406.91187915144764</c:v>
                </c:pt>
                <c:pt idx="35">
                  <c:v>408.53822245473111</c:v>
                </c:pt>
                <c:pt idx="36">
                  <c:v>410.17535004966999</c:v>
                </c:pt>
                <c:pt idx="37">
                  <c:v>411.82322682658997</c:v>
                </c:pt>
                <c:pt idx="38">
                  <c:v>413.48181758269214</c:v>
                </c:pt>
                <c:pt idx="39">
                  <c:v>415.15108702285113</c:v>
                </c:pt>
                <c:pt idx="40">
                  <c:v>416.83099976041524</c:v>
                </c:pt>
                <c:pt idx="41">
                  <c:v>418.52152031800892</c:v>
                </c:pt>
                <c:pt idx="42">
                  <c:v>420.22261312833734</c:v>
                </c:pt>
                <c:pt idx="43">
                  <c:v>421.93424253499279</c:v>
                </c:pt>
                <c:pt idx="44">
                  <c:v>423.65637279326319</c:v>
                </c:pt>
                <c:pt idx="45">
                  <c:v>425.38896807094227</c:v>
                </c:pt>
                <c:pt idx="46">
                  <c:v>427.13199244914176</c:v>
                </c:pt>
                <c:pt idx="47">
                  <c:v>428.8854099231051</c:v>
                </c:pt>
                <c:pt idx="48">
                  <c:v>430.6491844030229</c:v>
                </c:pt>
                <c:pt idx="49">
                  <c:v>432.42327971484985</c:v>
                </c:pt>
                <c:pt idx="50">
                  <c:v>434.20765960112328</c:v>
                </c:pt>
                <c:pt idx="51">
                  <c:v>436.00229128152</c:v>
                </c:pt>
                <c:pt idx="52">
                  <c:v>437.80714901800877</c:v>
                </c:pt>
                <c:pt idx="53">
                  <c:v>439.62221056069609</c:v>
                </c:pt>
                <c:pt idx="54">
                  <c:v>441.44745358889804</c:v>
                </c:pt>
                <c:pt idx="55">
                  <c:v>443.28285571160336</c:v>
                </c:pt>
                <c:pt idx="56">
                  <c:v>445.12839446793811</c:v>
                </c:pt>
                <c:pt idx="57">
                  <c:v>446.98404732763231</c:v>
                </c:pt>
                <c:pt idx="58">
                  <c:v>448.84979169148824</c:v>
                </c:pt>
                <c:pt idx="59">
                  <c:v>450.72560489185025</c:v>
                </c:pt>
                <c:pt idx="60">
                  <c:v>452.61146419307659</c:v>
                </c:pt>
                <c:pt idx="61">
                  <c:v>454.50734679201236</c:v>
                </c:pt>
                <c:pt idx="62">
                  <c:v>456.41322981846452</c:v>
                </c:pt>
                <c:pt idx="63">
                  <c:v>458.32909033567802</c:v>
                </c:pt>
                <c:pt idx="64">
                  <c:v>460.25490534081393</c:v>
                </c:pt>
                <c:pt idx="65">
                  <c:v>462.19065176542841</c:v>
                </c:pt>
                <c:pt idx="66">
                  <c:v>464.13630647595375</c:v>
                </c:pt>
                <c:pt idx="67">
                  <c:v>466.09184627418034</c:v>
                </c:pt>
                <c:pt idx="68">
                  <c:v>468.0572478977403</c:v>
                </c:pt>
                <c:pt idx="69">
                  <c:v>470.03248802059233</c:v>
                </c:pt>
                <c:pt idx="70">
                  <c:v>472.01754325350782</c:v>
                </c:pt>
                <c:pt idx="71">
                  <c:v>474.01239014455831</c:v>
                </c:pt>
                <c:pt idx="72">
                  <c:v>476.01700517960404</c:v>
                </c:pt>
                <c:pt idx="73">
                  <c:v>478.03136478278401</c:v>
                </c:pt>
                <c:pt idx="74">
                  <c:v>480.05544531700679</c:v>
                </c:pt>
                <c:pt idx="75">
                  <c:v>482.08922308444272</c:v>
                </c:pt>
                <c:pt idx="76">
                  <c:v>484.13267432701713</c:v>
                </c:pt>
                <c:pt idx="77">
                  <c:v>486.18577522690464</c:v>
                </c:pt>
                <c:pt idx="78">
                  <c:v>488.24850190702443</c:v>
                </c:pt>
                <c:pt idx="79">
                  <c:v>490.32083043153659</c:v>
                </c:pt>
                <c:pt idx="80">
                  <c:v>492.40273680633931</c:v>
                </c:pt>
                <c:pt idx="81">
                  <c:v>494.49419697956705</c:v>
                </c:pt>
                <c:pt idx="82">
                  <c:v>496.59518684208967</c:v>
                </c:pt>
                <c:pt idx="83">
                  <c:v>498.70568222801234</c:v>
                </c:pt>
                <c:pt idx="84">
                  <c:v>500.82565891517618</c:v>
                </c:pt>
                <c:pt idx="85">
                  <c:v>502.95509262565986</c:v>
                </c:pt>
                <c:pt idx="86">
                  <c:v>505.09395902628182</c:v>
                </c:pt>
                <c:pt idx="87">
                  <c:v>507.24223372910342</c:v>
                </c:pt>
                <c:pt idx="88">
                  <c:v>509.39989229193242</c:v>
                </c:pt>
                <c:pt idx="89">
                  <c:v>511.56691021882739</c:v>
                </c:pt>
                <c:pt idx="90">
                  <c:v>513.74326296060281</c:v>
                </c:pt>
                <c:pt idx="91">
                  <c:v>515.92892591533439</c:v>
                </c:pt>
                <c:pt idx="92">
                  <c:v>518.12387442886529</c:v>
                </c:pt>
                <c:pt idx="93">
                  <c:v>520.32808379531275</c:v>
                </c:pt>
                <c:pt idx="94">
                  <c:v>522.54152925757523</c:v>
                </c:pt>
                <c:pt idx="95">
                  <c:v>524.76418600783995</c:v>
                </c:pt>
                <c:pt idx="96">
                  <c:v>526.9960291880908</c:v>
                </c:pt>
                <c:pt idx="97">
                  <c:v>529.23703389061689</c:v>
                </c:pt>
                <c:pt idx="98">
                  <c:v>531.48717515852127</c:v>
                </c:pt>
                <c:pt idx="99">
                  <c:v>533.74642798622995</c:v>
                </c:pt>
                <c:pt idx="100">
                  <c:v>536.01476732000128</c:v>
                </c:pt>
                <c:pt idx="101">
                  <c:v>538.29216640444599</c:v>
                </c:pt>
                <c:pt idx="102">
                  <c:v>540.57859512767118</c:v>
                </c:pt>
                <c:pt idx="103">
                  <c:v>542.87402167499397</c:v>
                </c:pt>
                <c:pt idx="104">
                  <c:v>545.17841418410751</c:v>
                </c:pt>
                <c:pt idx="105">
                  <c:v>547.49174074574341</c:v>
                </c:pt>
                <c:pt idx="106">
                  <c:v>549.8139694043341</c:v>
                </c:pt>
                <c:pt idx="107">
                  <c:v>552.14506815867389</c:v>
                </c:pt>
                <c:pt idx="108">
                  <c:v>554.48500496258009</c:v>
                </c:pt>
                <c:pt idx="109">
                  <c:v>556.83374772555351</c:v>
                </c:pt>
                <c:pt idx="110">
                  <c:v>559.19126431343773</c:v>
                </c:pt>
                <c:pt idx="111">
                  <c:v>561.55752254907839</c:v>
                </c:pt>
                <c:pt idx="112">
                  <c:v>563.93249021298118</c:v>
                </c:pt>
                <c:pt idx="113">
                  <c:v>566.31613504396944</c:v>
                </c:pt>
                <c:pt idx="114">
                  <c:v>568.70842473984055</c:v>
                </c:pt>
                <c:pt idx="115">
                  <c:v>571.10932695802205</c:v>
                </c:pt>
                <c:pt idx="116">
                  <c:v>573.51880931622622</c:v>
                </c:pt>
                <c:pt idx="117">
                  <c:v>575.93683939310404</c:v>
                </c:pt>
                <c:pt idx="118">
                  <c:v>578.36338472889838</c:v>
                </c:pt>
                <c:pt idx="119">
                  <c:v>580.79841282609561</c:v>
                </c:pt>
                <c:pt idx="120">
                  <c:v>583.24189115007687</c:v>
                </c:pt>
                <c:pt idx="121">
                  <c:v>585.69378712976766</c:v>
                </c:pt>
                <c:pt idx="122">
                  <c:v>588.15406815828646</c:v>
                </c:pt>
                <c:pt idx="123">
                  <c:v>590.62270159359264</c:v>
                </c:pt>
                <c:pt idx="124">
                  <c:v>593.09965475913236</c:v>
                </c:pt>
                <c:pt idx="125">
                  <c:v>595.58489494448384</c:v>
                </c:pt>
                <c:pt idx="126">
                  <c:v>598.07838940600118</c:v>
                </c:pt>
                <c:pt idx="127">
                  <c:v>600.58010536745701</c:v>
                </c:pt>
                <c:pt idx="128">
                  <c:v>603.09001002068351</c:v>
                </c:pt>
                <c:pt idx="129">
                  <c:v>605.60807052621226</c:v>
                </c:pt>
                <c:pt idx="130">
                  <c:v>608.13425401391248</c:v>
                </c:pt>
                <c:pt idx="131">
                  <c:v>610.66852758362825</c:v>
                </c:pt>
                <c:pt idx="132">
                  <c:v>613.21085830581387</c:v>
                </c:pt>
                <c:pt idx="133">
                  <c:v>615.76121322216761</c:v>
                </c:pt>
                <c:pt idx="134">
                  <c:v>618.31955934626444</c:v>
                </c:pt>
                <c:pt idx="135">
                  <c:v>620.88586366418645</c:v>
                </c:pt>
                <c:pt idx="136">
                  <c:v>623.46009313515242</c:v>
                </c:pt>
                <c:pt idx="137">
                  <c:v>626.04221469214508</c:v>
                </c:pt>
                <c:pt idx="138">
                  <c:v>628.63219524253725</c:v>
                </c:pt>
                <c:pt idx="139">
                  <c:v>631.23000166871566</c:v>
                </c:pt>
                <c:pt idx="140">
                  <c:v>633.83560082870372</c:v>
                </c:pt>
                <c:pt idx="141">
                  <c:v>636.4489595567818</c:v>
                </c:pt>
                <c:pt idx="142">
                  <c:v>639.07004466410649</c:v>
                </c:pt>
                <c:pt idx="143">
                  <c:v>641.69882293932721</c:v>
                </c:pt>
                <c:pt idx="144">
                  <c:v>644.33526114920153</c:v>
                </c:pt>
                <c:pt idx="145">
                  <c:v>646.97932603920833</c:v>
                </c:pt>
                <c:pt idx="146">
                  <c:v>649.63098433415917</c:v>
                </c:pt>
                <c:pt idx="147">
                  <c:v>652.29020273880758</c:v>
                </c:pt>
                <c:pt idx="148">
                  <c:v>654.95694793845644</c:v>
                </c:pt>
                <c:pt idx="149">
                  <c:v>657.63118659956353</c:v>
                </c:pt>
                <c:pt idx="150">
                  <c:v>660.31288537034447</c:v>
                </c:pt>
                <c:pt idx="151">
                  <c:v>663.00201144821119</c:v>
                </c:pt>
                <c:pt idx="152">
                  <c:v>665.69853314739169</c:v>
                </c:pt>
                <c:pt idx="153">
                  <c:v>668.4024193324384</c:v>
                </c:pt>
                <c:pt idx="154">
                  <c:v>671.11363885152809</c:v>
                </c:pt>
                <c:pt idx="155">
                  <c:v>673.83216053700721</c:v>
                </c:pt>
                <c:pt idx="156">
                  <c:v>676.55795320593597</c:v>
                </c:pt>
                <c:pt idx="157">
                  <c:v>679.29098566062976</c:v>
                </c:pt>
                <c:pt idx="158">
                  <c:v>682.03122668919934</c:v>
                </c:pt>
                <c:pt idx="159">
                  <c:v>684.77864506608853</c:v>
                </c:pt>
                <c:pt idx="160">
                  <c:v>687.53320955261029</c:v>
                </c:pt>
                <c:pt idx="161">
                  <c:v>690.29488889748052</c:v>
                </c:pt>
                <c:pt idx="162">
                  <c:v>693.06365183735011</c:v>
                </c:pt>
                <c:pt idx="163">
                  <c:v>695.83946709733482</c:v>
                </c:pt>
                <c:pt idx="164">
                  <c:v>698.62230339154303</c:v>
                </c:pt>
                <c:pt idx="165">
                  <c:v>701.41212942360141</c:v>
                </c:pt>
                <c:pt idx="166">
                  <c:v>704.20891388717848</c:v>
                </c:pt>
                <c:pt idx="167">
                  <c:v>707.01262546650628</c:v>
                </c:pt>
                <c:pt idx="168">
                  <c:v>709.82323283689971</c:v>
                </c:pt>
                <c:pt idx="169">
                  <c:v>712.64070466527335</c:v>
                </c:pt>
                <c:pt idx="170">
                  <c:v>715.46500961065692</c:v>
                </c:pt>
                <c:pt idx="171">
                  <c:v>718.29611632470767</c:v>
                </c:pt>
                <c:pt idx="172">
                  <c:v>721.13399345222103</c:v>
                </c:pt>
                <c:pt idx="173">
                  <c:v>723.97860963163907</c:v>
                </c:pt>
                <c:pt idx="174">
                  <c:v>726.82993349555636</c:v>
                </c:pt>
                <c:pt idx="175">
                  <c:v>729.68793367122373</c:v>
                </c:pt>
                <c:pt idx="176">
                  <c:v>732.55257878104987</c:v>
                </c:pt>
                <c:pt idx="177">
                  <c:v>735.4238374431003</c:v>
                </c:pt>
                <c:pt idx="178">
                  <c:v>738.30167827159426</c:v>
                </c:pt>
                <c:pt idx="179">
                  <c:v>741.18606987739929</c:v>
                </c:pt>
                <c:pt idx="180">
                  <c:v>744.07698086852326</c:v>
                </c:pt>
                <c:pt idx="181">
                  <c:v>746.9743798506039</c:v>
                </c:pt>
                <c:pt idx="182">
                  <c:v>749.87823542739625</c:v>
                </c:pt>
                <c:pt idx="183">
                  <c:v>752.78851620125783</c:v>
                </c:pt>
                <c:pt idx="184">
                  <c:v>755.70519077363053</c:v>
                </c:pt>
                <c:pt idx="185">
                  <c:v>758.62822774552126</c:v>
                </c:pt>
                <c:pt idx="186">
                  <c:v>761.55759571797921</c:v>
                </c:pt>
                <c:pt idx="187">
                  <c:v>764.49326329257087</c:v>
                </c:pt>
                <c:pt idx="188">
                  <c:v>767.43519907185282</c:v>
                </c:pt>
                <c:pt idx="189">
                  <c:v>770.38337165984194</c:v>
                </c:pt>
                <c:pt idx="190">
                  <c:v>773.33774966248268</c:v>
                </c:pt>
                <c:pt idx="191">
                  <c:v>776.29830168811247</c:v>
                </c:pt>
                <c:pt idx="192">
                  <c:v>779.26499634792401</c:v>
                </c:pt>
                <c:pt idx="193">
                  <c:v>782.23780225642543</c:v>
                </c:pt>
                <c:pt idx="194">
                  <c:v>785.21668803189777</c:v>
                </c:pt>
                <c:pt idx="195">
                  <c:v>788.20162229684945</c:v>
                </c:pt>
                <c:pt idx="196">
                  <c:v>791.19257367846899</c:v>
                </c:pt>
                <c:pt idx="197">
                  <c:v>794.18951080907448</c:v>
                </c:pt>
                <c:pt idx="198">
                  <c:v>797.19240232656045</c:v>
                </c:pt>
                <c:pt idx="199">
                  <c:v>800.20121687484243</c:v>
                </c:pt>
                <c:pt idx="200">
                  <c:v>803.21592310429901</c:v>
                </c:pt>
                <c:pt idx="201">
                  <c:v>806.2364896722105</c:v>
                </c:pt>
                <c:pt idx="202">
                  <c:v>809.2628852431958</c:v>
                </c:pt>
                <c:pt idx="203">
                  <c:v>812.29507848964613</c:v>
                </c:pt>
                <c:pt idx="204">
                  <c:v>815.33303809215613</c:v>
                </c:pt>
                <c:pt idx="205">
                  <c:v>818.37673273995244</c:v>
                </c:pt>
                <c:pt idx="206">
                  <c:v>821.42613113131938</c:v>
                </c:pt>
                <c:pt idx="207">
                  <c:v>824.48120197402227</c:v>
                </c:pt>
                <c:pt idx="208">
                  <c:v>827.54191398572743</c:v>
                </c:pt>
                <c:pt idx="209">
                  <c:v>830.60823589442043</c:v>
                </c:pt>
                <c:pt idx="210">
                  <c:v>833.68013643882045</c:v>
                </c:pt>
                <c:pt idx="211">
                  <c:v>836.75758436879289</c:v>
                </c:pt>
                <c:pt idx="212">
                  <c:v>839.84054844575871</c:v>
                </c:pt>
                <c:pt idx="213">
                  <c:v>842.92899744310125</c:v>
                </c:pt>
                <c:pt idx="214">
                  <c:v>846.02290014657012</c:v>
                </c:pt>
                <c:pt idx="215">
                  <c:v>849.12222535468266</c:v>
                </c:pt>
                <c:pt idx="216">
                  <c:v>852.22694187912214</c:v>
                </c:pt>
                <c:pt idx="217">
                  <c:v>855.33701854513367</c:v>
                </c:pt>
                <c:pt idx="218">
                  <c:v>858.45242419191709</c:v>
                </c:pt>
                <c:pt idx="219">
                  <c:v>861.57312767301687</c:v>
                </c:pt>
                <c:pt idx="220">
                  <c:v>864.69909785671007</c:v>
                </c:pt>
                <c:pt idx="221">
                  <c:v>867.83030362639033</c:v>
                </c:pt>
                <c:pt idx="222">
                  <c:v>870.9667138809499</c:v>
                </c:pt>
                <c:pt idx="223">
                  <c:v>874.10829753515861</c:v>
                </c:pt>
                <c:pt idx="224">
                  <c:v>877.25502352004025</c:v>
                </c:pt>
                <c:pt idx="225">
                  <c:v>880.40686078324552</c:v>
                </c:pt>
                <c:pt idx="226">
                  <c:v>883.563778289423</c:v>
                </c:pt>
                <c:pt idx="227">
                  <c:v>886.72574502058671</c:v>
                </c:pt>
                <c:pt idx="228">
                  <c:v>889.89272997648106</c:v>
                </c:pt>
                <c:pt idx="229">
                  <c:v>893.06470217494302</c:v>
                </c:pt>
                <c:pt idx="230">
                  <c:v>896.24163065226151</c:v>
                </c:pt>
                <c:pt idx="231">
                  <c:v>899.42348446353355</c:v>
                </c:pt>
                <c:pt idx="232">
                  <c:v>902.61023268301847</c:v>
                </c:pt>
                <c:pt idx="233">
                  <c:v>905.80184440448807</c:v>
                </c:pt>
                <c:pt idx="234">
                  <c:v>908.99828874157515</c:v>
                </c:pt>
                <c:pt idx="235">
                  <c:v>912.19953482811832</c:v>
                </c:pt>
                <c:pt idx="236">
                  <c:v>915.40555181850459</c:v>
                </c:pt>
                <c:pt idx="237">
                  <c:v>918.6163088880088</c:v>
                </c:pt>
                <c:pt idx="238">
                  <c:v>921.83177523313009</c:v>
                </c:pt>
                <c:pt idx="239">
                  <c:v>925.05192007192591</c:v>
                </c:pt>
                <c:pt idx="240">
                  <c:v>928.27671264434309</c:v>
                </c:pt>
                <c:pt idx="241">
                  <c:v>931.50612221254573</c:v>
                </c:pt>
                <c:pt idx="242">
                  <c:v>934.74011806124088</c:v>
                </c:pt>
                <c:pt idx="243">
                  <c:v>937.97866949800061</c:v>
                </c:pt>
                <c:pt idx="244">
                  <c:v>941.22174585358221</c:v>
                </c:pt>
                <c:pt idx="245">
                  <c:v>944.46931648224438</c:v>
                </c:pt>
                <c:pt idx="246">
                  <c:v>947.72135076206166</c:v>
                </c:pt>
                <c:pt idx="247">
                  <c:v>950.97781809523565</c:v>
                </c:pt>
                <c:pt idx="248">
                  <c:v>954.23868790840299</c:v>
                </c:pt>
                <c:pt idx="249">
                  <c:v>957.50392965294111</c:v>
                </c:pt>
                <c:pt idx="250">
                  <c:v>960.7735128052708</c:v>
                </c:pt>
                <c:pt idx="251">
                  <c:v>964.04740439173315</c:v>
                </c:pt>
                <c:pt idx="252">
                  <c:v>967.32556651479206</c:v>
                </c:pt>
                <c:pt idx="253">
                  <c:v>970.60795883360367</c:v>
                </c:pt>
                <c:pt idx="254">
                  <c:v>973.89454104332742</c:v>
                </c:pt>
                <c:pt idx="255">
                  <c:v>977.18527287556026</c:v>
                </c:pt>
                <c:pt idx="256">
                  <c:v>980.48011409876642</c:v>
                </c:pt>
                <c:pt idx="257">
                  <c:v>983.77902451870193</c:v>
                </c:pt>
                <c:pt idx="258">
                  <c:v>987.08196397883557</c:v>
                </c:pt>
                <c:pt idx="259">
                  <c:v>990.38889236076398</c:v>
                </c:pt>
                <c:pt idx="260">
                  <c:v>993.69976958462325</c:v>
                </c:pt>
                <c:pt idx="261">
                  <c:v>997.01455560949512</c:v>
                </c:pt>
                <c:pt idx="262">
                  <c:v>1000.3332104338092</c:v>
                </c:pt>
                <c:pt idx="263">
                  <c:v>1003.65569409574</c:v>
                </c:pt>
                <c:pt idx="264">
                  <c:v>1006.9819666735999</c:v>
                </c:pt>
                <c:pt idx="265">
                  <c:v>1010.3119882862272</c:v>
                </c:pt>
                <c:pt idx="266">
                  <c:v>1013.64571909337</c:v>
                </c:pt>
                <c:pt idx="267">
                  <c:v>1016.9831192960646</c:v>
                </c:pt>
                <c:pt idx="268">
                  <c:v>1020.3241491370112</c:v>
                </c:pt>
                <c:pt idx="269">
                  <c:v>1023.6687689009427</c:v>
                </c:pt>
                <c:pt idx="270">
                  <c:v>1027.0169389149908</c:v>
                </c:pt>
                <c:pt idx="271">
                  <c:v>1030.368619549047</c:v>
                </c:pt>
                <c:pt idx="272">
                  <c:v>1033.7237712161188</c:v>
                </c:pt>
                <c:pt idx="273">
                  <c:v>1037.0823543726817</c:v>
                </c:pt>
                <c:pt idx="274">
                  <c:v>1040.444329519027</c:v>
                </c:pt>
                <c:pt idx="275">
                  <c:v>1043.8096571996043</c:v>
                </c:pt>
                <c:pt idx="276">
                  <c:v>1047.1782980033609</c:v>
                </c:pt>
                <c:pt idx="277">
                  <c:v>1050.5502125640749</c:v>
                </c:pt>
                <c:pt idx="278">
                  <c:v>1053.9253615606854</c:v>
                </c:pt>
                <c:pt idx="279">
                  <c:v>1057.3037057176182</c:v>
                </c:pt>
                <c:pt idx="280">
                  <c:v>1060.6852058051059</c:v>
                </c:pt>
                <c:pt idx="281">
                  <c:v>1064.0698226395048</c:v>
                </c:pt>
                <c:pt idx="282">
                  <c:v>1067.4575170836067</c:v>
                </c:pt>
                <c:pt idx="283">
                  <c:v>1070.8482500469474</c:v>
                </c:pt>
                <c:pt idx="284">
                  <c:v>1074.2419824861092</c:v>
                </c:pt>
                <c:pt idx="285">
                  <c:v>1077.6386754050204</c:v>
                </c:pt>
                <c:pt idx="286">
                  <c:v>1081.0382898552498</c:v>
                </c:pt>
                <c:pt idx="287">
                  <c:v>1084.4407869362974</c:v>
                </c:pt>
                <c:pt idx="288">
                  <c:v>1087.8461277958804</c:v>
                </c:pt>
                <c:pt idx="289">
                  <c:v>1091.254273630215</c:v>
                </c:pt>
                <c:pt idx="290">
                  <c:v>1094.6651856842939</c:v>
                </c:pt>
                <c:pt idx="291">
                  <c:v>1098.0788252521597</c:v>
                </c:pt>
                <c:pt idx="292">
                  <c:v>1101.4951536771746</c:v>
                </c:pt>
                <c:pt idx="293">
                  <c:v>1104.9141323522845</c:v>
                </c:pt>
                <c:pt idx="294">
                  <c:v>1108.3357227202798</c:v>
                </c:pt>
                <c:pt idx="295">
                  <c:v>1111.7598862740524</c:v>
                </c:pt>
                <c:pt idx="296">
                  <c:v>1115.1865845568475</c:v>
                </c:pt>
                <c:pt idx="297">
                  <c:v>1118.6157791625126</c:v>
                </c:pt>
                <c:pt idx="298">
                  <c:v>1122.0474044417065</c:v>
                </c:pt>
                <c:pt idx="299">
                  <c:v>1125.4813402352108</c:v>
                </c:pt>
                <c:pt idx="300">
                  <c:v>1128.9174392426266</c:v>
                </c:pt>
                <c:pt idx="301">
                  <c:v>1132.3555543654779</c:v>
                </c:pt>
                <c:pt idx="302">
                  <c:v>1135.7955387104471</c:v>
                </c:pt>
                <c:pt idx="303">
                  <c:v>1139.237245592554</c:v>
                </c:pt>
                <c:pt idx="304">
                  <c:v>1142.6805285382816</c:v>
                </c:pt>
                <c:pt idx="305">
                  <c:v>1146.1252412886458</c:v>
                </c:pt>
                <c:pt idx="306">
                  <c:v>1149.5712378022113</c:v>
                </c:pt>
                <c:pt idx="307">
                  <c:v>1153.0183722580523</c:v>
                </c:pt>
                <c:pt idx="308">
                  <c:v>1156.4664990586598</c:v>
                </c:pt>
                <c:pt idx="309">
                  <c:v>1159.9154728327935</c:v>
                </c:pt>
                <c:pt idx="310">
                  <c:v>1163.3651484382806</c:v>
                </c:pt>
                <c:pt idx="311">
                  <c:v>1166.8153809647604</c:v>
                </c:pt>
                <c:pt idx="312">
                  <c:v>1170.2660257363748</c:v>
                </c:pt>
                <c:pt idx="313">
                  <c:v>1173.716938314406</c:v>
                </c:pt>
                <c:pt idx="314">
                  <c:v>1177.1679744998605</c:v>
                </c:pt>
                <c:pt idx="315">
                  <c:v>1180.6189903359998</c:v>
                </c:pt>
                <c:pt idx="316">
                  <c:v>1184.0698421108184</c:v>
                </c:pt>
                <c:pt idx="317">
                  <c:v>1187.5203863594695</c:v>
                </c:pt>
                <c:pt idx="318">
                  <c:v>1190.9704798666369</c:v>
                </c:pt>
                <c:pt idx="319">
                  <c:v>1194.4199796688565</c:v>
                </c:pt>
                <c:pt idx="320">
                  <c:v>1197.8687430567843</c:v>
                </c:pt>
                <c:pt idx="321">
                  <c:v>1201.3166384471067</c:v>
                </c:pt>
                <c:pt idx="322">
                  <c:v>1204.7635562360797</c:v>
                </c:pt>
                <c:pt idx="323">
                  <c:v>1208.2093978909531</c:v>
                </c:pt>
                <c:pt idx="324">
                  <c:v>1211.6540650590343</c:v>
                </c:pt>
                <c:pt idx="325">
                  <c:v>1215.0974595684579</c:v>
                </c:pt>
                <c:pt idx="326">
                  <c:v>1218.5394834289316</c:v>
                </c:pt>
                <c:pt idx="327">
                  <c:v>1221.9800388324593</c:v>
                </c:pt>
                <c:pt idx="328">
                  <c:v>1225.4190281540411</c:v>
                </c:pt>
                <c:pt idx="329">
                  <c:v>1228.8563539523498</c:v>
                </c:pt>
                <c:pt idx="330">
                  <c:v>1232.2919189703846</c:v>
                </c:pt>
                <c:pt idx="331">
                  <c:v>1235.7256261361033</c:v>
                </c:pt>
                <c:pt idx="332">
                  <c:v>1239.1573785630305</c:v>
                </c:pt>
                <c:pt idx="333">
                  <c:v>1242.5870795508445</c:v>
                </c:pt>
                <c:pt idx="334">
                  <c:v>1246.0146325859416</c:v>
                </c:pt>
                <c:pt idx="335">
                  <c:v>1249.4399413419792</c:v>
                </c:pt>
                <c:pt idx="336">
                  <c:v>1252.8629096803959</c:v>
                </c:pt>
                <c:pt idx="337">
                  <c:v>1256.2834416509113</c:v>
                </c:pt>
                <c:pt idx="338">
                  <c:v>1259.7014414920034</c:v>
                </c:pt>
                <c:pt idx="339">
                  <c:v>1263.1168136313652</c:v>
                </c:pt>
                <c:pt idx="340">
                  <c:v>1266.5294626863401</c:v>
                </c:pt>
                <c:pt idx="341">
                  <c:v>1269.9392934643367</c:v>
                </c:pt>
                <c:pt idx="342">
                  <c:v>1273.3462109632226</c:v>
                </c:pt>
                <c:pt idx="343">
                  <c:v>1276.7501203716972</c:v>
                </c:pt>
                <c:pt idx="344">
                  <c:v>1280.1509270696451</c:v>
                </c:pt>
                <c:pt idx="345">
                  <c:v>1283.548536628469</c:v>
                </c:pt>
                <c:pt idx="346">
                  <c:v>1286.942854811402</c:v>
                </c:pt>
                <c:pt idx="347">
                  <c:v>1290.3337875738002</c:v>
                </c:pt>
                <c:pt idx="348">
                  <c:v>1293.721242236345</c:v>
                </c:pt>
                <c:pt idx="349">
                  <c:v>1297.1051286556749</c:v>
                </c:pt>
                <c:pt idx="350">
                  <c:v>1300.4853580464701</c:v>
                </c:pt>
                <c:pt idx="351">
                  <c:v>1303.8618418060305</c:v>
                </c:pt>
                <c:pt idx="352">
                  <c:v>1307.2344915144035</c:v>
                </c:pt>
                <c:pt idx="353">
                  <c:v>1310.603218934496</c:v>
                </c:pt>
                <c:pt idx="354">
                  <c:v>1313.9679360121679</c:v>
                </c:pt>
                <c:pt idx="355">
                  <c:v>1317.3285548763117</c:v>
                </c:pt>
                <c:pt idx="356">
                  <c:v>1320.6849878389141</c:v>
                </c:pt>
                <c:pt idx="357">
                  <c:v>1324.0371473951029</c:v>
                </c:pt>
                <c:pt idx="358">
                  <c:v>1327.3849462231772</c:v>
                </c:pt>
                <c:pt idx="359">
                  <c:v>1330.7282971846223</c:v>
                </c:pt>
                <c:pt idx="360">
                  <c:v>1334.0671377168794</c:v>
                </c:pt>
                <c:pt idx="361">
                  <c:v>1337.4014541689724</c:v>
                </c:pt>
                <c:pt idx="362">
                  <c:v>1340.7312572950639</c:v>
                </c:pt>
                <c:pt idx="363">
                  <c:v>1344.0565578052745</c:v>
                </c:pt>
                <c:pt idx="364">
                  <c:v>1347.3773663659235</c:v>
                </c:pt>
                <c:pt idx="365">
                  <c:v>1350.693693599771</c:v>
                </c:pt>
                <c:pt idx="366">
                  <c:v>1354.0055500862552</c:v>
                </c:pt>
                <c:pt idx="367">
                  <c:v>1357.3129463617308</c:v>
                </c:pt>
                <c:pt idx="368">
                  <c:v>1360.6158929197045</c:v>
                </c:pt>
                <c:pt idx="369">
                  <c:v>1363.9144002110684</c:v>
                </c:pt>
                <c:pt idx="370">
                  <c:v>1367.2084786443331</c:v>
                </c:pt>
                <c:pt idx="371">
                  <c:v>1370.4981385858584</c:v>
                </c:pt>
                <c:pt idx="372">
                  <c:v>1373.7833903600817</c:v>
                </c:pt>
                <c:pt idx="373">
                  <c:v>1377.0642442497469</c:v>
                </c:pt>
                <c:pt idx="374">
                  <c:v>1380.3407104961293</c:v>
                </c:pt>
                <c:pt idx="375">
                  <c:v>1383.612799299261</c:v>
                </c:pt>
                <c:pt idx="376">
                  <c:v>1386.8805208181534</c:v>
                </c:pt>
                <c:pt idx="377">
                  <c:v>1390.1438851710191</c:v>
                </c:pt>
                <c:pt idx="378">
                  <c:v>1393.4029024354913</c:v>
                </c:pt>
                <c:pt idx="379">
                  <c:v>1396.6575826488429</c:v>
                </c:pt>
                <c:pt idx="380">
                  <c:v>1399.9079358082033</c:v>
                </c:pt>
                <c:pt idx="381">
                  <c:v>1403.1539718707736</c:v>
                </c:pt>
                <c:pt idx="382">
                  <c:v>1406.3957007540409</c:v>
                </c:pt>
                <c:pt idx="383">
                  <c:v>1409.6331323359914</c:v>
                </c:pt>
                <c:pt idx="384">
                  <c:v>1412.8662764553208</c:v>
                </c:pt>
                <c:pt idx="385">
                  <c:v>1416.0951429116442</c:v>
                </c:pt>
                <c:pt idx="386">
                  <c:v>1419.3197414657052</c:v>
                </c:pt>
                <c:pt idx="387">
                  <c:v>1422.5400818395822</c:v>
                </c:pt>
                <c:pt idx="388">
                  <c:v>1425.7561737168937</c:v>
                </c:pt>
                <c:pt idx="389">
                  <c:v>1428.9680267430035</c:v>
                </c:pt>
                <c:pt idx="390">
                  <c:v>1432.1756505252224</c:v>
                </c:pt>
                <c:pt idx="391">
                  <c:v>1435.3790546330106</c:v>
                </c:pt>
                <c:pt idx="392">
                  <c:v>1438.578248598177</c:v>
                </c:pt>
                <c:pt idx="393">
                  <c:v>1441.7732419150786</c:v>
                </c:pt>
                <c:pt idx="394">
                  <c:v>1444.9640440408177</c:v>
                </c:pt>
                <c:pt idx="395">
                  <c:v>1448.1506643954383</c:v>
                </c:pt>
                <c:pt idx="396">
                  <c:v>1451.3331123621206</c:v>
                </c:pt>
                <c:pt idx="397">
                  <c:v>1454.5113972873746</c:v>
                </c:pt>
                <c:pt idx="398">
                  <c:v>1457.6855284812327</c:v>
                </c:pt>
                <c:pt idx="399">
                  <c:v>1460.8555152174406</c:v>
                </c:pt>
                <c:pt idx="400">
                  <c:v>1464.0213667336468</c:v>
                </c:pt>
                <c:pt idx="401">
                  <c:v>1495.45315752755</c:v>
                </c:pt>
                <c:pt idx="402">
                  <c:v>1526.4773408599779</c:v>
                </c:pt>
                <c:pt idx="403">
                  <c:v>1557.1028143335948</c:v>
                </c:pt>
                <c:pt idx="404">
                  <c:v>1587.3381388050127</c:v>
                </c:pt>
                <c:pt idx="405">
                  <c:v>1617.1915553144117</c:v>
                </c:pt>
                <c:pt idx="406">
                  <c:v>1646.6710009525584</c:v>
                </c:pt>
                <c:pt idx="407">
                  <c:v>1675.7841237447863</c:v>
                </c:pt>
                <c:pt idx="408">
                  <c:v>1704.5382966246084</c:v>
                </c:pt>
                <c:pt idx="409">
                  <c:v>1732.9406305634075</c:v>
                </c:pt>
                <c:pt idx="410">
                  <c:v>1760.9979869170302</c:v>
                </c:pt>
                <c:pt idx="411">
                  <c:v>1788.7169890450368</c:v>
                </c:pt>
                <c:pt idx="412">
                  <c:v>1816.1040332537536</c:v>
                </c:pt>
                <c:pt idx="413">
                  <c:v>1843.1652991101125</c:v>
                </c:pt>
                <c:pt idx="414">
                  <c:v>1869.9067591694729</c:v>
                </c:pt>
                <c:pt idx="415">
                  <c:v>1896.334188157188</c:v>
                </c:pt>
                <c:pt idx="416">
                  <c:v>1922.4531716405481</c:v>
                </c:pt>
                <c:pt idx="417">
                  <c:v>1948.269114224885</c:v>
                </c:pt>
                <c:pt idx="418">
                  <c:v>1973.7872473050249</c:v>
                </c:pt>
                <c:pt idx="419">
                  <c:v>1999.0126364009052</c:v>
                </c:pt>
                <c:pt idx="420">
                  <c:v>2023.9501881040073</c:v>
                </c:pt>
                <c:pt idx="421">
                  <c:v>2048.604656659274</c:v>
                </c:pt>
                <c:pt idx="422">
                  <c:v>2072.9806502053639</c:v>
                </c:pt>
                <c:pt idx="423">
                  <c:v>2097.0826366944393</c:v>
                </c:pt>
                <c:pt idx="424">
                  <c:v>2120.9149495111496</c:v>
                </c:pt>
                <c:pt idx="425">
                  <c:v>2144.4817928090802</c:v>
                </c:pt>
                <c:pt idx="426">
                  <c:v>2167.7872465816413</c:v>
                </c:pt>
                <c:pt idx="427">
                  <c:v>2190.8352714831963</c:v>
                </c:pt>
                <c:pt idx="428">
                  <c:v>2213.6297134151255</c:v>
                </c:pt>
                <c:pt idx="429">
                  <c:v>2236.1743078905306</c:v>
                </c:pt>
                <c:pt idx="430">
                  <c:v>2258.4726841903484</c:v>
                </c:pt>
                <c:pt idx="431">
                  <c:v>2280.5283693227893</c:v>
                </c:pt>
                <c:pt idx="432">
                  <c:v>2302.3447917972248</c:v>
                </c:pt>
                <c:pt idx="433">
                  <c:v>2323.9252852229206</c:v>
                </c:pt>
                <c:pt idx="434">
                  <c:v>2345.2730917423305</c:v>
                </c:pt>
                <c:pt idx="435">
                  <c:v>2366.3913653080454</c:v>
                </c:pt>
                <c:pt idx="436">
                  <c:v>2387.2831748119015</c:v>
                </c:pt>
                <c:pt idx="437">
                  <c:v>2407.9515070742295</c:v>
                </c:pt>
                <c:pt idx="438">
                  <c:v>2428.3992697007084</c:v>
                </c:pt>
                <c:pt idx="439">
                  <c:v>2448.6292938138395</c:v>
                </c:pt>
                <c:pt idx="440">
                  <c:v>2468.6443366656113</c:v>
                </c:pt>
                <c:pt idx="441">
                  <c:v>2488.4470841375382</c:v>
                </c:pt>
                <c:pt idx="442">
                  <c:v>2508.0401531338707</c:v>
                </c:pt>
                <c:pt idx="443">
                  <c:v>2527.4260938734333</c:v>
                </c:pt>
                <c:pt idx="444">
                  <c:v>2546.6073920852223</c:v>
                </c:pt>
                <c:pt idx="445">
                  <c:v>2565.5864711125937</c:v>
                </c:pt>
                <c:pt idx="446">
                  <c:v>2584.3656939305843</c:v>
                </c:pt>
                <c:pt idx="447">
                  <c:v>2602.9473650806526</c:v>
                </c:pt>
                <c:pt idx="448">
                  <c:v>2621.3337325268794</c:v>
                </c:pt>
                <c:pt idx="449">
                  <c:v>2639.5269894374314</c:v>
                </c:pt>
                <c:pt idx="450">
                  <c:v>2657.5292758948881</c:v>
                </c:pt>
                <c:pt idx="451">
                  <c:v>2675.3426805388153</c:v>
                </c:pt>
                <c:pt idx="452">
                  <c:v>2692.9692421438008</c:v>
                </c:pt>
                <c:pt idx="453">
                  <c:v>2710.4109511359666</c:v>
                </c:pt>
                <c:pt idx="454">
                  <c:v>2727.6697510508325</c:v>
                </c:pt>
                <c:pt idx="455">
                  <c:v>2744.7475399352288</c:v>
                </c:pt>
                <c:pt idx="456">
                  <c:v>2761.6461716958238</c:v>
                </c:pt>
                <c:pt idx="457">
                  <c:v>2778.3674573966905</c:v>
                </c:pt>
                <c:pt idx="458">
                  <c:v>2794.9131665082105</c:v>
                </c:pt>
                <c:pt idx="459">
                  <c:v>2811.2850281094861</c:v>
                </c:pt>
                <c:pt idx="460">
                  <c:v>2827.4847320463305</c:v>
                </c:pt>
                <c:pt idx="461">
                  <c:v>2843.5139300467845</c:v>
                </c:pt>
                <c:pt idx="462">
                  <c:v>2859.3742367960222</c:v>
                </c:pt>
                <c:pt idx="463">
                  <c:v>2875.0672309723996</c:v>
                </c:pt>
                <c:pt idx="464">
                  <c:v>2890.5944562463246</c:v>
                </c:pt>
                <c:pt idx="465">
                  <c:v>2905.9574222435322</c:v>
                </c:pt>
                <c:pt idx="466">
                  <c:v>2921.1576054742732</c:v>
                </c:pt>
                <c:pt idx="467">
                  <c:v>2936.1964502298565</c:v>
                </c:pt>
                <c:pt idx="468">
                  <c:v>2951.0753694479004</c:v>
                </c:pt>
                <c:pt idx="469">
                  <c:v>2965.7957455475948</c:v>
                </c:pt>
                <c:pt idx="470">
                  <c:v>2980.3589312362119</c:v>
                </c:pt>
                <c:pt idx="471">
                  <c:v>2994.7662502880307</c:v>
                </c:pt>
                <c:pt idx="472">
                  <c:v>3009.0189982968063</c:v>
                </c:pt>
                <c:pt idx="473">
                  <c:v>3023.1184434028391</c:v>
                </c:pt>
                <c:pt idx="474">
                  <c:v>3037.0658269956675</c:v>
                </c:pt>
                <c:pt idx="475">
                  <c:v>3050.8623643933479</c:v>
                </c:pt>
                <c:pt idx="476">
                  <c:v>3064.5092454992459</c:v>
                </c:pt>
                <c:pt idx="477">
                  <c:v>3078.0076354372222</c:v>
                </c:pt>
                <c:pt idx="478">
                  <c:v>3091.3586751660482</c:v>
                </c:pt>
                <c:pt idx="479">
                  <c:v>3104.5634820738587</c:v>
                </c:pt>
                <c:pt idx="480">
                  <c:v>3117.6231505534038</c:v>
                </c:pt>
                <c:pt idx="481">
                  <c:v>3130.5387525588335</c:v>
                </c:pt>
                <c:pt idx="482">
                  <c:v>3143.3113381447124</c:v>
                </c:pt>
                <c:pt idx="483">
                  <c:v>3155.9419359879312</c:v>
                </c:pt>
                <c:pt idx="484">
                  <c:v>3168.4315538931578</c:v>
                </c:pt>
                <c:pt idx="485">
                  <c:v>3180.7811792824318</c:v>
                </c:pt>
                <c:pt idx="486">
                  <c:v>3192.9917796694922</c:v>
                </c:pt>
                <c:pt idx="487">
                  <c:v>3205.0643031193918</c:v>
                </c:pt>
                <c:pt idx="488">
                  <c:v>3216.9996786939378</c:v>
                </c:pt>
                <c:pt idx="489">
                  <c:v>3228.7988168834659</c:v>
                </c:pt>
                <c:pt idx="490">
                  <c:v>3240.46261002544</c:v>
                </c:pt>
                <c:pt idx="491">
                  <c:v>3251.9919327103476</c:v>
                </c:pt>
                <c:pt idx="492">
                  <c:v>3263.3876421753375</c:v>
                </c:pt>
                <c:pt idx="493">
                  <c:v>3274.6505786860353</c:v>
                </c:pt>
                <c:pt idx="494">
                  <c:v>3285.7815659069456</c:v>
                </c:pt>
                <c:pt idx="495">
                  <c:v>3296.7814112608394</c:v>
                </c:pt>
                <c:pt idx="496">
                  <c:v>3307.6509062775044</c:v>
                </c:pt>
                <c:pt idx="497">
                  <c:v>3318.3908269322264</c:v>
                </c:pt>
                <c:pt idx="498">
                  <c:v>3329.001933974348</c:v>
                </c:pt>
                <c:pt idx="499">
                  <c:v>3339.4849732462412</c:v>
                </c:pt>
                <c:pt idx="500">
                  <c:v>3349.8406759930162</c:v>
                </c:pt>
                <c:pt idx="501">
                  <c:v>3360.0697591632779</c:v>
                </c:pt>
                <c:pt idx="502">
                  <c:v>3370.1729257012239</c:v>
                </c:pt>
                <c:pt idx="503">
                  <c:v>3380.150864830372</c:v>
                </c:pt>
                <c:pt idx="504">
                  <c:v>3390.0042523291913</c:v>
                </c:pt>
                <c:pt idx="505">
                  <c:v>3399.7337507988991</c:v>
                </c:pt>
                <c:pt idx="506">
                  <c:v>3409.3400099236815</c:v>
                </c:pt>
                <c:pt idx="507">
                  <c:v>3418.8236667235751</c:v>
                </c:pt>
                <c:pt idx="508">
                  <c:v>3428.185345800252</c:v>
                </c:pt>
                <c:pt idx="509">
                  <c:v>3437.4256595759284</c:v>
                </c:pt>
                <c:pt idx="510">
                  <c:v>3446.545208525617</c:v>
                </c:pt>
                <c:pt idx="511">
                  <c:v>3455.5445814029304</c:v>
                </c:pt>
                <c:pt idx="512">
                  <c:v>3464.4243554596401</c:v>
                </c:pt>
                <c:pt idx="513">
                  <c:v>3473.1850966591815</c:v>
                </c:pt>
                <c:pt idx="514">
                  <c:v>3481.8273598842966</c:v>
                </c:pt>
                <c:pt idx="515">
                  <c:v>3490.35168913899</c:v>
                </c:pt>
                <c:pt idx="516">
                  <c:v>3498.7586177449753</c:v>
                </c:pt>
                <c:pt idx="517">
                  <c:v>3507.0486685327783</c:v>
                </c:pt>
                <c:pt idx="518">
                  <c:v>3515.2223540276586</c:v>
                </c:pt>
                <c:pt idx="519">
                  <c:v>3523.2801766305083</c:v>
                </c:pt>
                <c:pt idx="520">
                  <c:v>3531.2226287938724</c:v>
                </c:pt>
                <c:pt idx="521">
                  <c:v>3539.0501931932458</c:v>
                </c:pt>
                <c:pt idx="522">
                  <c:v>3546.7633428937779</c:v>
                </c:pt>
                <c:pt idx="523">
                  <c:v>3554.362541512528</c:v>
                </c:pt>
                <c:pt idx="524">
                  <c:v>3561.8482433763988</c:v>
                </c:pt>
                <c:pt idx="525">
                  <c:v>3569.2208936758784</c:v>
                </c:pt>
                <c:pt idx="526">
                  <c:v>3576.480928614712</c:v>
                </c:pt>
                <c:pt idx="527">
                  <c:v>3583.6287755556227</c:v>
                </c:pt>
                <c:pt idx="528">
                  <c:v>3590.6648531621991</c:v>
                </c:pt>
                <c:pt idx="529">
                  <c:v>3597.5895715370593</c:v>
                </c:pt>
                <c:pt idx="530">
                  <c:v>3604.4033323564036</c:v>
                </c:pt>
                <c:pt idx="531">
                  <c:v>3611.1065290010588</c:v>
                </c:pt>
                <c:pt idx="532">
                  <c:v>3617.6995466841204</c:v>
                </c:pt>
                <c:pt idx="533">
                  <c:v>3624.1827625752908</c:v>
                </c:pt>
                <c:pt idx="534">
                  <c:v>3630.556545922012</c:v>
                </c:pt>
                <c:pt idx="535">
                  <c:v>3636.8212581674893</c:v>
                </c:pt>
                <c:pt idx="536">
                  <c:v>3642.9772530657006</c:v>
                </c:pt>
                <c:pt idx="537">
                  <c:v>3649.0248767934795</c:v>
                </c:pt>
                <c:pt idx="538">
                  <c:v>3654.9644680597667</c:v>
                </c:pt>
                <c:pt idx="539">
                  <c:v>3660.7963582121151</c:v>
                </c:pt>
                <c:pt idx="540">
                  <c:v>3666.5208713405377</c:v>
                </c:pt>
                <c:pt idx="541">
                  <c:v>3672.1383243787832</c:v>
                </c:pt>
                <c:pt idx="542">
                  <c:v>3677.6490272031265</c:v>
                </c:pt>
                <c:pt idx="543">
                  <c:v>3683.0532827287584</c:v>
                </c:pt>
                <c:pt idx="544">
                  <c:v>3688.3513870038605</c:v>
                </c:pt>
                <c:pt idx="545">
                  <c:v>3693.5436293014454</c:v>
                </c:pt>
                <c:pt idx="546">
                  <c:v>3698.6302922090554</c:v>
                </c:pt>
                <c:pt idx="547">
                  <c:v>3703.6116517163987</c:v>
                </c:pt>
                <c:pt idx="548">
                  <c:v>3708.4879773010152</c:v>
                </c:pt>
                <c:pt idx="549">
                  <c:v>3713.2595320120549</c:v>
                </c:pt>
                <c:pt idx="550">
                  <c:v>3717.9265725522664</c:v>
                </c:pt>
                <c:pt idx="551">
                  <c:v>3722.4893493582827</c:v>
                </c:pt>
                <c:pt idx="552">
                  <c:v>3726.9481066793032</c:v>
                </c:pt>
                <c:pt idx="553">
                  <c:v>3731.3030826542708</c:v>
                </c:pt>
                <c:pt idx="554">
                  <c:v>3735.5545093876462</c:v>
                </c:pt>
                <c:pt idx="555">
                  <c:v>3739.7026130238905</c:v>
                </c:pt>
                <c:pt idx="556">
                  <c:v>3743.7476138207703</c:v>
                </c:pt>
                <c:pt idx="557">
                  <c:v>3747.6897262216025</c:v>
                </c:pt>
                <c:pt idx="558">
                  <c:v>3751.5291589265721</c:v>
                </c:pt>
                <c:pt idx="559">
                  <c:v>3755.2661149632563</c:v>
                </c:pt>
                <c:pt idx="560">
                  <c:v>3758.9007917565023</c:v>
                </c:pt>
                <c:pt idx="561">
                  <c:v>3762.433381197819</c:v>
                </c:pt>
                <c:pt idx="562">
                  <c:v>3765.8640697144488</c:v>
                </c:pt>
                <c:pt idx="563">
                  <c:v>3769.1930383383046</c:v>
                </c:pt>
                <c:pt idx="564">
                  <c:v>3772.4204627749741</c:v>
                </c:pt>
                <c:pt idx="565">
                  <c:v>3775.5465134730043</c:v>
                </c:pt>
                <c:pt idx="566">
                  <c:v>3778.5713556937039</c:v>
                </c:pt>
                <c:pt idx="567">
                  <c:v>3781.4951495817204</c:v>
                </c:pt>
                <c:pt idx="568">
                  <c:v>3784.3180502366736</c:v>
                </c:pt>
                <c:pt idx="569">
                  <c:v>3787.0402077861486</c:v>
                </c:pt>
                <c:pt idx="570">
                  <c:v>3789.661767460384</c:v>
                </c:pt>
                <c:pt idx="571">
                  <c:v>3792.1828696690177</c:v>
                </c:pt>
                <c:pt idx="572">
                  <c:v>3794.6036500802848</c:v>
                </c:pt>
                <c:pt idx="573">
                  <c:v>3796.9242397030962</c:v>
                </c:pt>
                <c:pt idx="574">
                  <c:v>3799.1447649724632</c:v>
                </c:pt>
                <c:pt idx="575">
                  <c:v>3801.2653478387629</c:v>
                </c:pt>
                <c:pt idx="576">
                  <c:v>3803.2861058613817</c:v>
                </c:pt>
                <c:pt idx="577">
                  <c:v>3805.2071523073091</c:v>
                </c:pt>
                <c:pt idx="578">
                  <c:v>3807.0285962552775</c:v>
                </c:pt>
                <c:pt idx="579">
                  <c:v>3808.7505427060837</c:v>
                </c:pt>
                <c:pt idx="580">
                  <c:v>3810.3730926997437</c:v>
                </c:pt>
                <c:pt idx="581">
                  <c:v>3811.8963434401458</c:v>
                </c:pt>
                <c:pt idx="582">
                  <c:v>3813.3203884278728</c:v>
                </c:pt>
                <c:pt idx="583">
                  <c:v>3814.6453176018513</c:v>
                </c:pt>
                <c:pt idx="584">
                  <c:v>3815.8712174904558</c:v>
                </c:pt>
                <c:pt idx="585">
                  <c:v>3816.9981713726424</c:v>
                </c:pt>
                <c:pt idx="586">
                  <c:v>3818.026259449618</c:v>
                </c:pt>
                <c:pt idx="587">
                  <c:v>3818.9555590274394</c:v>
                </c:pt>
                <c:pt idx="588">
                  <c:v>3819.7861447108121</c:v>
                </c:pt>
                <c:pt idx="589">
                  <c:v>3820.5180886081921</c:v>
                </c:pt>
                <c:pt idx="590">
                  <c:v>3821.1514605481052</c:v>
                </c:pt>
                <c:pt idx="591">
                  <c:v>3821.6863283063781</c:v>
                </c:pt>
                <c:pt idx="592">
                  <c:v>3822.1227578437379</c:v>
                </c:pt>
                <c:pt idx="593">
                  <c:v>3822.4608135529875</c:v>
                </c:pt>
                <c:pt idx="594">
                  <c:v>3822.7005585147017</c:v>
                </c:pt>
                <c:pt idx="595">
                  <c:v>3822.8420547601486</c:v>
                </c:pt>
                <c:pt idx="596">
                  <c:v>3822.885363539905</c:v>
                </c:pt>
                <c:pt idx="597">
                  <c:v>3822.8305455964492</c:v>
                </c:pt>
                <c:pt idx="598">
                  <c:v>3822.6776614388555</c:v>
                </c:pt>
                <c:pt idx="599">
                  <c:v>3822.4267716176273</c:v>
                </c:pt>
                <c:pt idx="600">
                  <c:v>3822.0779369976667</c:v>
                </c:pt>
                <c:pt idx="601">
                  <c:v>3821.6312190274039</c:v>
                </c:pt>
                <c:pt idx="602">
                  <c:v>3821.0866800022063</c:v>
                </c:pt>
                <c:pt idx="603">
                  <c:v>3820.4443833203213</c:v>
                </c:pt>
                <c:pt idx="604">
                  <c:v>3819.7043937298045</c:v>
                </c:pt>
                <c:pt idx="605">
                  <c:v>3818.8667775651056</c:v>
                </c:pt>
                <c:pt idx="606">
                  <c:v>3817.9316029722368</c:v>
                </c:pt>
                <c:pt idx="607">
                  <c:v>3816.8989401216963</c:v>
                </c:pt>
                <c:pt idx="608">
                  <c:v>3815.7688614085823</c:v>
                </c:pt>
                <c:pt idx="609">
                  <c:v>3814.5414416395711</c:v>
                </c:pt>
                <c:pt idx="610">
                  <c:v>3813.21675820665</c:v>
                </c:pt>
                <c:pt idx="611">
                  <c:v>3811.7948912477009</c:v>
                </c:pt>
                <c:pt idx="612">
                  <c:v>3810.2759237941832</c:v>
                </c:pt>
                <c:pt idx="613">
                  <c:v>3808.65994190631</c:v>
                </c:pt>
                <c:pt idx="614">
                  <c:v>3806.9470347962115</c:v>
                </c:pt>
                <c:pt idx="615">
                  <c:v>3805.13729493966</c:v>
                </c:pt>
                <c:pt idx="616">
                  <c:v>3803.2308181769818</c:v>
                </c:pt>
                <c:pt idx="617">
                  <c:v>3801.2277038038083</c:v>
                </c:pt>
                <c:pt idx="618">
                  <c:v>3799.1280546523394</c:v>
                </c:pt>
                <c:pt idx="619">
                  <c:v>3796.9319771637806</c:v>
                </c:pt>
                <c:pt idx="620">
                  <c:v>3794.639581452604</c:v>
                </c:pt>
                <c:pt idx="621">
                  <c:v>3792.2509813632614</c:v>
                </c:pt>
                <c:pt idx="622">
                  <c:v>3789.7662945199472</c:v>
                </c:pt>
                <c:pt idx="623">
                  <c:v>3787.185642369971</c:v>
                </c:pt>
                <c:pt idx="624">
                  <c:v>3784.5091502212717</c:v>
                </c:pt>
                <c:pt idx="625">
                  <c:v>3781.736947274559</c:v>
                </c:pt>
                <c:pt idx="626">
                  <c:v>3778.8691666505351</c:v>
                </c:pt>
                <c:pt idx="627">
                  <c:v>3775.9059454126145</c:v>
                </c:pt>
                <c:pt idx="628">
                  <c:v>3772.8474245855214</c:v>
                </c:pt>
                <c:pt idx="629">
                  <c:v>3769.6937491701087</c:v>
                </c:pt>
                <c:pt idx="630">
                  <c:v>3766.4450681547232</c:v>
                </c:pt>
                <c:pt idx="631">
                  <c:v>3763.1015345233927</c:v>
                </c:pt>
                <c:pt idx="632">
                  <c:v>3759.6633052611051</c:v>
                </c:pt>
                <c:pt idx="633">
                  <c:v>3756.1305413564082</c:v>
                </c:pt>
                <c:pt idx="634">
                  <c:v>3752.5034078015478</c:v>
                </c:pt>
                <c:pt idx="635">
                  <c:v>3748.782073590331</c:v>
                </c:pt>
                <c:pt idx="636">
                  <c:v>3744.9667117138952</c:v>
                </c:pt>
                <c:pt idx="637">
                  <c:v>3741.0574991545313</c:v>
                </c:pt>
                <c:pt idx="638">
                  <c:v>3737.0546168777109</c:v>
                </c:pt>
                <c:pt idx="639">
                  <c:v>3732.9582498224386</c:v>
                </c:pt>
                <c:pt idx="640">
                  <c:v>3728.7685868900494</c:v>
                </c:pt>
                <c:pt idx="641">
                  <c:v>3724.4858209315544</c:v>
                </c:pt>
                <c:pt idx="642">
                  <c:v>3720.1101487336264</c:v>
                </c:pt>
                <c:pt idx="643">
                  <c:v>3715.641771003317</c:v>
                </c:pt>
                <c:pt idx="644">
                  <c:v>3711.0808923515774</c:v>
                </c:pt>
                <c:pt idx="645">
                  <c:v>3706.4277212756547</c:v>
                </c:pt>
                <c:pt idx="646">
                  <c:v>3701.6824701404321</c:v>
                </c:pt>
                <c:pt idx="647">
                  <c:v>3696.8453551587645</c:v>
                </c:pt>
                <c:pt idx="648">
                  <c:v>3691.9165963708679</c:v>
                </c:pt>
                <c:pt idx="649">
                  <c:v>3686.8964176228096</c:v>
                </c:pt>
                <c:pt idx="650">
                  <c:v>3681.7850465441452</c:v>
                </c:pt>
                <c:pt idx="651">
                  <c:v>3676.582714524739</c:v>
                </c:pt>
                <c:pt idx="652">
                  <c:v>3671.2896566908121</c:v>
                </c:pt>
                <c:pt idx="653">
                  <c:v>3665.9061118802488</c:v>
                </c:pt>
                <c:pt idx="654">
                  <c:v>3660.4323226171919</c:v>
                </c:pt>
                <c:pt idx="655">
                  <c:v>3654.8685350859619</c:v>
                </c:pt>
                <c:pt idx="656">
                  <c:v>3649.2149991043225</c:v>
                </c:pt>
                <c:pt idx="657">
                  <c:v>3643.4719680961225</c:v>
                </c:pt>
                <c:pt idx="658">
                  <c:v>3637.639699063333</c:v>
                </c:pt>
                <c:pt idx="659">
                  <c:v>3631.7184525575085</c:v>
                </c:pt>
                <c:pt idx="660">
                  <c:v>3625.7084926506873</c:v>
                </c:pt>
                <c:pt idx="661">
                  <c:v>3619.6100869057555</c:v>
                </c:pt>
                <c:pt idx="662">
                  <c:v>3613.4235063462893</c:v>
                </c:pt>
                <c:pt idx="663">
                  <c:v>3607.1490254258988</c:v>
                </c:pt>
                <c:pt idx="664">
                  <c:v>3600.7869219970826</c:v>
                </c:pt>
                <c:pt idx="665">
                  <c:v>3594.3374772796174</c:v>
                </c:pt>
                <c:pt idx="666">
                  <c:v>3587.8009758284916</c:v>
                </c:pt>
                <c:pt idx="667">
                  <c:v>3581.1777055014009</c:v>
                </c:pt>
                <c:pt idx="668">
                  <c:v>3574.4679574258184</c:v>
                </c:pt>
                <c:pt idx="669">
                  <c:v>3567.672025965654</c:v>
                </c:pt>
                <c:pt idx="670">
                  <c:v>3560.7902086875147</c:v>
                </c:pt>
                <c:pt idx="671">
                  <c:v>3553.8228063265801</c:v>
                </c:pt>
                <c:pt idx="672">
                  <c:v>3546.7701227521038</c:v>
                </c:pt>
                <c:pt idx="673">
                  <c:v>3539.6324649325525</c:v>
                </c:pt>
                <c:pt idx="674">
                  <c:v>3532.4101429003963</c:v>
                </c:pt>
                <c:pt idx="675">
                  <c:v>3525.1034697165587</c:v>
                </c:pt>
                <c:pt idx="676">
                  <c:v>3517.7127614345395</c:v>
                </c:pt>
                <c:pt idx="677">
                  <c:v>3510.2383370642206</c:v>
                </c:pt>
                <c:pt idx="678">
                  <c:v>3502.6805185353637</c:v>
                </c:pt>
                <c:pt idx="679">
                  <c:v>3495.0396306608131</c:v>
                </c:pt>
                <c:pt idx="680">
                  <c:v>3487.316001099412</c:v>
                </c:pt>
                <c:pt idx="681">
                  <c:v>3479.5099603186409</c:v>
                </c:pt>
                <c:pt idx="682">
                  <c:v>3471.621841556992</c:v>
                </c:pt>
                <c:pt idx="683">
                  <c:v>3463.651980786085</c:v>
                </c:pt>
                <c:pt idx="684">
                  <c:v>3455.6007166725358</c:v>
                </c:pt>
                <c:pt idx="685">
                  <c:v>3447.4683905395877</c:v>
                </c:pt>
                <c:pt idx="686">
                  <c:v>3439.2553463285144</c:v>
                </c:pt>
                <c:pt idx="687">
                  <c:v>3430.9619305598035</c:v>
                </c:pt>
                <c:pt idx="688">
                  <c:v>3422.5884922941291</c:v>
                </c:pt>
                <c:pt idx="689">
                  <c:v>3414.1353830931253</c:v>
                </c:pt>
                <c:pt idx="690">
                  <c:v>3405.6029569799653</c:v>
                </c:pt>
                <c:pt idx="691">
                  <c:v>3396.9915703997594</c:v>
                </c:pt>
                <c:pt idx="692">
                  <c:v>3388.3015821797767</c:v>
                </c:pt>
                <c:pt idx="693">
                  <c:v>3379.533353489504</c:v>
                </c:pt>
                <c:pt idx="694">
                  <c:v>3370.6872478005453</c:v>
                </c:pt>
                <c:pt idx="695">
                  <c:v>3361.7636308463743</c:v>
                </c:pt>
                <c:pt idx="696">
                  <c:v>3352.7628705819475</c:v>
                </c:pt>
                <c:pt idx="697">
                  <c:v>3343.6853371431871</c:v>
                </c:pt>
                <c:pt idx="698">
                  <c:v>3334.5314028063394</c:v>
                </c:pt>
                <c:pt idx="699">
                  <c:v>3325.3014419472211</c:v>
                </c:pt>
                <c:pt idx="700">
                  <c:v>3315.9958310003594</c:v>
                </c:pt>
                <c:pt idx="701">
                  <c:v>3306.6149484180346</c:v>
                </c:pt>
                <c:pt idx="702">
                  <c:v>3297.1591746292343</c:v>
                </c:pt>
                <c:pt idx="703">
                  <c:v>3287.6288919985268</c:v>
                </c:pt>
                <c:pt idx="704">
                  <c:v>3278.0244847848626</c:v>
                </c:pt>
                <c:pt idx="705">
                  <c:v>3268.3463391003102</c:v>
                </c:pt>
                <c:pt idx="706">
                  <c:v>3258.5948428687375</c:v>
                </c:pt>
                <c:pt idx="707">
                  <c:v>3248.7703857844449</c:v>
                </c:pt>
                <c:pt idx="708">
                  <c:v>3238.8733592707572</c:v>
                </c:pt>
                <c:pt idx="709">
                  <c:v>3228.9041564385843</c:v>
                </c:pt>
                <c:pt idx="710">
                  <c:v>3218.8631720449594</c:v>
                </c:pt>
                <c:pt idx="711">
                  <c:v>3208.7508024515578</c:v>
                </c:pt>
                <c:pt idx="712">
                  <c:v>3198.5674455832109</c:v>
                </c:pt>
                <c:pt idx="713">
                  <c:v>3188.3135008864165</c:v>
                </c:pt>
                <c:pt idx="714">
                  <c:v>3177.9893692878591</c:v>
                </c:pt>
                <c:pt idx="715">
                  <c:v>3167.5954531529433</c:v>
                </c:pt>
                <c:pt idx="716">
                  <c:v>3157.1321562443504</c:v>
                </c:pt>
                <c:pt idx="717">
                  <c:v>3146.5998836806257</c:v>
                </c:pt>
                <c:pt idx="718">
                  <c:v>3135.9990418948018</c:v>
                </c:pt>
                <c:pt idx="719">
                  <c:v>3125.3300385930702</c:v>
                </c:pt>
                <c:pt idx="720">
                  <c:v>3114.5932827135007</c:v>
                </c:pt>
                <c:pt idx="721">
                  <c:v>3103.7891843848265</c:v>
                </c:pt>
                <c:pt idx="722">
                  <c:v>3092.9181548852912</c:v>
                </c:pt>
                <c:pt idx="723">
                  <c:v>3081.9806066015735</c:v>
                </c:pt>
                <c:pt idx="724">
                  <c:v>3070.9769529877926</c:v>
                </c:pt>
                <c:pt idx="725">
                  <c:v>3059.9076085246024</c:v>
                </c:pt>
                <c:pt idx="726">
                  <c:v>3048.7729886783814</c:v>
                </c:pt>
                <c:pt idx="727">
                  <c:v>3037.5735098605246</c:v>
                </c:pt>
                <c:pt idx="728">
                  <c:v>3026.3095893868472</c:v>
                </c:pt>
                <c:pt idx="729">
                  <c:v>3014.9816454371016</c:v>
                </c:pt>
                <c:pt idx="730">
                  <c:v>3003.5900970146213</c:v>
                </c:pt>
                <c:pt idx="731">
                  <c:v>2992.1353639060908</c:v>
                </c:pt>
                <c:pt idx="732">
                  <c:v>2980.6178666414557</c:v>
                </c:pt>
                <c:pt idx="733">
                  <c:v>2969.0380264539731</c:v>
                </c:pt>
                <c:pt idx="734">
                  <c:v>2957.3962652404134</c:v>
                </c:pt>
                <c:pt idx="735">
                  <c:v>2945.693005521417</c:v>
                </c:pt>
                <c:pt idx="736">
                  <c:v>2933.9286704020137</c:v>
                </c:pt>
                <c:pt idx="737">
                  <c:v>2922.1036835323098</c:v>
                </c:pt>
                <c:pt idx="738">
                  <c:v>2910.2184690683512</c:v>
                </c:pt>
                <c:pt idx="739">
                  <c:v>2898.2734516331657</c:v>
                </c:pt>
                <c:pt idx="740">
                  <c:v>2886.2690562779931</c:v>
                </c:pt>
                <c:pt idx="741">
                  <c:v>2874.205708443707</c:v>
                </c:pt>
                <c:pt idx="742">
                  <c:v>2862.0838339224356</c:v>
                </c:pt>
                <c:pt idx="743">
                  <c:v>2849.9038588193862</c:v>
                </c:pt>
                <c:pt idx="744">
                  <c:v>2837.666209514879</c:v>
                </c:pt>
                <c:pt idx="745">
                  <c:v>2825.3713126265975</c:v>
                </c:pt>
                <c:pt idx="746">
                  <c:v>2813.0195949720578</c:v>
                </c:pt>
                <c:pt idx="747">
                  <c:v>2800.6114835313051</c:v>
                </c:pt>
                <c:pt idx="748">
                  <c:v>2788.1474054098412</c:v>
                </c:pt>
                <c:pt idx="749">
                  <c:v>2775.6277878017881</c:v>
                </c:pt>
                <c:pt idx="750">
                  <c:v>2763.0530579532947</c:v>
                </c:pt>
                <c:pt idx="751">
                  <c:v>2750.423643126187</c:v>
                </c:pt>
                <c:pt idx="752">
                  <c:v>2737.7399705618736</c:v>
                </c:pt>
                <c:pt idx="753">
                  <c:v>2725.0024674455035</c:v>
                </c:pt>
                <c:pt idx="754">
                  <c:v>2712.2115608703884</c:v>
                </c:pt>
                <c:pt idx="755">
                  <c:v>2699.3676778026879</c:v>
                </c:pt>
                <c:pt idx="756">
                  <c:v>2686.4712450463653</c:v>
                </c:pt>
                <c:pt idx="757">
                  <c:v>2673.5226892084183</c:v>
                </c:pt>
                <c:pt idx="758">
                  <c:v>2660.5224366643888</c:v>
                </c:pt>
                <c:pt idx="759">
                  <c:v>2647.4709135241537</c:v>
                </c:pt>
                <c:pt idx="760">
                  <c:v>2634.3685455980044</c:v>
                </c:pt>
                <c:pt idx="761">
                  <c:v>2621.2157583630164</c:v>
                </c:pt>
                <c:pt idx="762">
                  <c:v>2608.012976929715</c:v>
                </c:pt>
                <c:pt idx="763">
                  <c:v>2594.7606260090374</c:v>
                </c:pt>
                <c:pt idx="764">
                  <c:v>2581.459129879599</c:v>
                </c:pt>
                <c:pt idx="765">
                  <c:v>2568.1089123552642</c:v>
                </c:pt>
                <c:pt idx="766">
                  <c:v>2554.7103967530279</c:v>
                </c:pt>
                <c:pt idx="767">
                  <c:v>2541.2640058612096</c:v>
                </c:pt>
                <c:pt idx="768">
                  <c:v>2527.7701619079612</c:v>
                </c:pt>
                <c:pt idx="769">
                  <c:v>2514.2292865300969</c:v>
                </c:pt>
                <c:pt idx="770">
                  <c:v>2500.6418007422444</c:v>
                </c:pt>
                <c:pt idx="771">
                  <c:v>2487.0081249063201</c:v>
                </c:pt>
                <c:pt idx="772">
                  <c:v>2473.328678701333</c:v>
                </c:pt>
                <c:pt idx="773">
                  <c:v>2459.6038810935211</c:v>
                </c:pt>
                <c:pt idx="774">
                  <c:v>2445.8341503068182</c:v>
                </c:pt>
                <c:pt idx="775">
                  <c:v>2432.0199037936577</c:v>
                </c:pt>
                <c:pt idx="776">
                  <c:v>2418.1615582061163</c:v>
                </c:pt>
                <c:pt idx="777">
                  <c:v>2404.2595293673967</c:v>
                </c:pt>
                <c:pt idx="778">
                  <c:v>2390.3142322436538</c:v>
                </c:pt>
                <c:pt idx="779">
                  <c:v>2376.3260809161657</c:v>
                </c:pt>
                <c:pt idx="780">
                  <c:v>2362.2954885538516</c:v>
                </c:pt>
                <c:pt idx="781">
                  <c:v>2348.2228673861396</c:v>
                </c:pt>
                <c:pt idx="782">
                  <c:v>2334.1086286761843</c:v>
                </c:pt>
                <c:pt idx="783">
                  <c:v>2319.9531826944371</c:v>
                </c:pt>
                <c:pt idx="784">
                  <c:v>2305.7569386925716</c:v>
                </c:pt>
                <c:pt idx="785">
                  <c:v>2291.5203048777621</c:v>
                </c:pt>
                <c:pt idx="786">
                  <c:v>2277.2436883873224</c:v>
                </c:pt>
                <c:pt idx="787">
                  <c:v>2262.9274952637006</c:v>
                </c:pt>
                <c:pt idx="788">
                  <c:v>2248.5721304298336</c:v>
                </c:pt>
                <c:pt idx="789">
                  <c:v>2234.1779976648641</c:v>
                </c:pt>
                <c:pt idx="790">
                  <c:v>2219.7454995802159</c:v>
                </c:pt>
                <c:pt idx="791">
                  <c:v>2205.2750375960363</c:v>
                </c:pt>
                <c:pt idx="792">
                  <c:v>2190.7670119179966</c:v>
                </c:pt>
                <c:pt idx="793">
                  <c:v>2176.2218215144608</c:v>
                </c:pt>
                <c:pt idx="794">
                  <c:v>2161.6398640940183</c:v>
                </c:pt>
                <c:pt idx="795">
                  <c:v>2147.0215360833795</c:v>
                </c:pt>
                <c:pt idx="796">
                  <c:v>2132.3672326056399</c:v>
                </c:pt>
                <c:pt idx="797">
                  <c:v>2117.6773474589081</c:v>
                </c:pt>
                <c:pt idx="798">
                  <c:v>2102.9522730953017</c:v>
                </c:pt>
                <c:pt idx="799">
                  <c:v>2088.1924006003092</c:v>
                </c:pt>
                <c:pt idx="800">
                  <c:v>2073.3981196725172</c:v>
                </c:pt>
                <c:pt idx="801">
                  <c:v>2058.5698186037052</c:v>
                </c:pt>
                <c:pt idx="802">
                  <c:v>2043.7078842593069</c:v>
                </c:pt>
                <c:pt idx="803">
                  <c:v>2028.8127020592367</c:v>
                </c:pt>
                <c:pt idx="804">
                  <c:v>2013.8846559590836</c:v>
                </c:pt>
                <c:pt idx="805">
                  <c:v>1998.9241284316686</c:v>
                </c:pt>
                <c:pt idx="806">
                  <c:v>1983.9315004489688</c:v>
                </c:pt>
                <c:pt idx="807">
                  <c:v>1968.9071514644052</c:v>
                </c:pt>
                <c:pt idx="808">
                  <c:v>1953.8514593954947</c:v>
                </c:pt>
                <c:pt idx="809">
                  <c:v>1938.7648006068653</c:v>
                </c:pt>
                <c:pt idx="810">
                  <c:v>1923.6475498936334</c:v>
                </c:pt>
                <c:pt idx="811">
                  <c:v>1908.5000804651434</c:v>
                </c:pt>
                <c:pt idx="812">
                  <c:v>1893.3227639290667</c:v>
                </c:pt>
                <c:pt idx="813">
                  <c:v>1878.1159702758619</c:v>
                </c:pt>
                <c:pt idx="814">
                  <c:v>1862.8800678635916</c:v>
                </c:pt>
                <c:pt idx="815">
                  <c:v>1847.6154234030987</c:v>
                </c:pt>
                <c:pt idx="816">
                  <c:v>1832.3224019435374</c:v>
                </c:pt>
                <c:pt idx="817">
                  <c:v>1817.0013668582592</c:v>
                </c:pt>
                <c:pt idx="818">
                  <c:v>1801.6526798310529</c:v>
                </c:pt>
                <c:pt idx="819">
                  <c:v>1786.2767008427363</c:v>
                </c:pt>
                <c:pt idx="820">
                  <c:v>1770.8737881580983</c:v>
                </c:pt>
                <c:pt idx="821">
                  <c:v>1755.4442983131898</c:v>
                </c:pt>
                <c:pt idx="822">
                  <c:v>1739.9885861029632</c:v>
                </c:pt>
                <c:pt idx="823">
                  <c:v>1724.5070045692551</c:v>
                </c:pt>
                <c:pt idx="824">
                  <c:v>1708.9999049891153</c:v>
                </c:pt>
                <c:pt idx="825">
                  <c:v>1693.4676368634762</c:v>
                </c:pt>
                <c:pt idx="826">
                  <c:v>1677.9105479061632</c:v>
                </c:pt>
                <c:pt idx="827">
                  <c:v>1662.3289840332423</c:v>
                </c:pt>
                <c:pt idx="828">
                  <c:v>1646.7232893527053</c:v>
                </c:pt>
                <c:pt idx="829">
                  <c:v>1631.0938061544878</c:v>
                </c:pt>
                <c:pt idx="830">
                  <c:v>1615.4408749008201</c:v>
                </c:pt>
                <c:pt idx="831">
                  <c:v>1599.7648342169073</c:v>
                </c:pt>
                <c:pt idx="832">
                  <c:v>1584.0660208819377</c:v>
                </c:pt>
                <c:pt idx="833">
                  <c:v>1568.3447698204159</c:v>
                </c:pt>
                <c:pt idx="834">
                  <c:v>1552.6014140938198</c:v>
                </c:pt>
                <c:pt idx="835">
                  <c:v>1536.8362848925776</c:v>
                </c:pt>
                <c:pt idx="836">
                  <c:v>1521.0497115283633</c:v>
                </c:pt>
                <c:pt idx="837">
                  <c:v>1505.2420214267086</c:v>
                </c:pt>
                <c:pt idx="838">
                  <c:v>1489.4135401199269</c:v>
                </c:pt>
                <c:pt idx="839">
                  <c:v>1473.5645912403497</c:v>
                </c:pt>
                <c:pt idx="840">
                  <c:v>1457.6954965138707</c:v>
                </c:pt>
                <c:pt idx="841">
                  <c:v>1441.8065757537947</c:v>
                </c:pt>
                <c:pt idx="842">
                  <c:v>1425.8981468549907</c:v>
                </c:pt>
                <c:pt idx="843">
                  <c:v>1409.970525788345</c:v>
                </c:pt>
                <c:pt idx="844">
                  <c:v>1394.0240265955113</c:v>
                </c:pt>
                <c:pt idx="845">
                  <c:v>1378.0589613839566</c:v>
                </c:pt>
                <c:pt idx="846">
                  <c:v>1362.0756403222986</c:v>
                </c:pt>
                <c:pt idx="847">
                  <c:v>1346.0743716359325</c:v>
                </c:pt>
                <c:pt idx="848">
                  <c:v>1330.0554616029442</c:v>
                </c:pt>
                <c:pt idx="849">
                  <c:v>1314.019214550307</c:v>
                </c:pt>
                <c:pt idx="850">
                  <c:v>1297.965932850359</c:v>
                </c:pt>
                <c:pt idx="851">
                  <c:v>1281.895916917558</c:v>
                </c:pt>
                <c:pt idx="852">
                  <c:v>1265.809465205512</c:v>
                </c:pt>
                <c:pt idx="853">
                  <c:v>1249.7068742042798</c:v>
                </c:pt>
                <c:pt idx="854">
                  <c:v>1233.5884384379424</c:v>
                </c:pt>
                <c:pt idx="855">
                  <c:v>1217.4544504624389</c:v>
                </c:pt>
                <c:pt idx="856">
                  <c:v>1201.305200863665</c:v>
                </c:pt>
                <c:pt idx="857">
                  <c:v>1185.1409782558321</c:v>
                </c:pt>
                <c:pt idx="858">
                  <c:v>1168.9620692800822</c:v>
                </c:pt>
                <c:pt idx="859">
                  <c:v>1152.7687586033569</c:v>
                </c:pt>
                <c:pt idx="860">
                  <c:v>1136.5613289175164</c:v>
                </c:pt>
                <c:pt idx="861">
                  <c:v>1120.3400609387063</c:v>
                </c:pt>
                <c:pt idx="862">
                  <c:v>1104.1052334069673</c:v>
                </c:pt>
                <c:pt idx="863">
                  <c:v>1087.8571230860878</c:v>
                </c:pt>
                <c:pt idx="864">
                  <c:v>1071.5960047636929</c:v>
                </c:pt>
                <c:pt idx="865">
                  <c:v>1055.3221512515688</c:v>
                </c:pt>
                <c:pt idx="866">
                  <c:v>1039.0358333862187</c:v>
                </c:pt>
                <c:pt idx="867">
                  <c:v>1022.7373200296464</c:v>
                </c:pt>
                <c:pt idx="868">
                  <c:v>1006.4268780703667</c:v>
                </c:pt>
                <c:pt idx="869">
                  <c:v>990.10477242463571</c:v>
                </c:pt>
                <c:pt idx="870">
                  <c:v>973.77126603790157</c:v>
                </c:pt>
                <c:pt idx="871">
                  <c:v>957.42661988647012</c:v>
                </c:pt>
                <c:pt idx="872">
                  <c:v>941.07109297938314</c:v>
                </c:pt>
                <c:pt idx="873">
                  <c:v>924.70494236050592</c:v>
                </c:pt>
                <c:pt idx="874">
                  <c:v>908.32842311082072</c:v>
                </c:pt>
                <c:pt idx="875">
                  <c:v>891.94178835092305</c:v>
                </c:pt>
                <c:pt idx="876">
                  <c:v>875.54528924371789</c:v>
                </c:pt>
                <c:pt idx="877">
                  <c:v>859.1391749973119</c:v>
                </c:pt>
                <c:pt idx="878">
                  <c:v>842.72369286809942</c:v>
                </c:pt>
                <c:pt idx="879">
                  <c:v>826.29908816403827</c:v>
                </c:pt>
                <c:pt idx="880">
                  <c:v>809.8656042481125</c:v>
                </c:pt>
                <c:pt idx="881">
                  <c:v>793.42348254197918</c:v>
                </c:pt>
                <c:pt idx="882">
                  <c:v>776.97296252979504</c:v>
                </c:pt>
                <c:pt idx="883">
                  <c:v>760.51428176222169</c:v>
                </c:pt>
                <c:pt idx="884">
                  <c:v>744.04767586060404</c:v>
                </c:pt>
                <c:pt idx="885">
                  <c:v>727.57337852132059</c:v>
                </c:pt>
                <c:pt idx="886">
                  <c:v>711.09162152030137</c:v>
                </c:pt>
                <c:pt idx="887">
                  <c:v>694.60263471771111</c:v>
                </c:pt>
                <c:pt idx="888">
                  <c:v>678.10664606279386</c:v>
                </c:pt>
                <c:pt idx="889">
                  <c:v>661.60388159887657</c:v>
                </c:pt>
                <c:pt idx="890">
                  <c:v>645.09456546852857</c:v>
                </c:pt>
                <c:pt idx="891">
                  <c:v>628.578919918873</c:v>
                </c:pt>
                <c:pt idx="892">
                  <c:v>612.05716530704842</c:v>
                </c:pt>
                <c:pt idx="893">
                  <c:v>595.52952010581635</c:v>
                </c:pt>
                <c:pt idx="894">
                  <c:v>578.99620090931285</c:v>
                </c:pt>
                <c:pt idx="895">
                  <c:v>562.45742243894017</c:v>
                </c:pt>
                <c:pt idx="896">
                  <c:v>545.91339754939611</c:v>
                </c:pt>
                <c:pt idx="897">
                  <c:v>529.36433723483799</c:v>
                </c:pt>
                <c:pt idx="898">
                  <c:v>512.81045063517763</c:v>
                </c:pt>
                <c:pt idx="899">
                  <c:v>496.25194504250595</c:v>
                </c:pt>
                <c:pt idx="900">
                  <c:v>479.68902590764236</c:v>
                </c:pt>
                <c:pt idx="901">
                  <c:v>463.12189684680766</c:v>
                </c:pt>
                <c:pt idx="902">
                  <c:v>446.55075964841649</c:v>
                </c:pt>
                <c:pt idx="903">
                  <c:v>429.97581427998722</c:v>
                </c:pt>
                <c:pt idx="904">
                  <c:v>413.39725889516575</c:v>
                </c:pt>
                <c:pt idx="905">
                  <c:v>396.81528984086123</c:v>
                </c:pt>
                <c:pt idx="906">
                  <c:v>380.23010166449006</c:v>
                </c:pt>
                <c:pt idx="907">
                  <c:v>363.64188712132614</c:v>
                </c:pt>
                <c:pt idx="908">
                  <c:v>347.05083718195402</c:v>
                </c:pt>
                <c:pt idx="909">
                  <c:v>330.45714103982272</c:v>
                </c:pt>
                <c:pt idx="910">
                  <c:v>313.86098611889707</c:v>
                </c:pt>
                <c:pt idx="911">
                  <c:v>297.26255808140451</c:v>
                </c:pt>
                <c:pt idx="912">
                  <c:v>280.66204083567379</c:v>
                </c:pt>
                <c:pt idx="913">
                  <c:v>264.059616544064</c:v>
                </c:pt>
                <c:pt idx="914">
                  <c:v>247.45546563098048</c:v>
                </c:pt>
                <c:pt idx="915">
                  <c:v>230.84976679097537</c:v>
                </c:pt>
                <c:pt idx="916">
                  <c:v>214.24269699693036</c:v>
                </c:pt>
                <c:pt idx="917">
                  <c:v>197.6344315083189</c:v>
                </c:pt>
                <c:pt idx="918">
                  <c:v>181.02514387954545</c:v>
                </c:pt>
                <c:pt idx="919">
                  <c:v>164.41500596835928</c:v>
                </c:pt>
                <c:pt idx="920">
                  <c:v>147.80418794434044</c:v>
                </c:pt>
                <c:pt idx="921">
                  <c:v>131.19285829745533</c:v>
                </c:pt>
                <c:pt idx="922">
                  <c:v>114.58118384667965</c:v>
                </c:pt>
                <c:pt idx="923">
                  <c:v>97.969329748686206</c:v>
                </c:pt>
                <c:pt idx="924">
                  <c:v>81.357459506595305</c:v>
                </c:pt>
                <c:pt idx="925">
                  <c:v>64.745734978785379</c:v>
                </c:pt>
                <c:pt idx="926">
                  <c:v>48.134316387761601</c:v>
                </c:pt>
                <c:pt idx="927">
                  <c:v>31.523362329080197</c:v>
                </c:pt>
                <c:pt idx="928">
                  <c:v>14.913029780326177</c:v>
                </c:pt>
                <c:pt idx="929">
                  <c:v>-1.696525889857643</c:v>
                </c:pt>
                <c:pt idx="930">
                  <c:v>-1.7131350179433664</c:v>
                </c:pt>
                <c:pt idx="931">
                  <c:v>-1.7297441450218813</c:v>
                </c:pt>
                <c:pt idx="932">
                  <c:v>-1.7463532710930365</c:v>
                </c:pt>
                <c:pt idx="933">
                  <c:v>-1.7629623961566805</c:v>
                </c:pt>
                <c:pt idx="934">
                  <c:v>-1.7795715202126621</c:v>
                </c:pt>
                <c:pt idx="935">
                  <c:v>-1.79618064326083</c:v>
                </c:pt>
                <c:pt idx="936">
                  <c:v>-1.8127897653010332</c:v>
                </c:pt>
                <c:pt idx="937">
                  <c:v>-1.8293988863331203</c:v>
                </c:pt>
                <c:pt idx="938">
                  <c:v>-1.84600800635694</c:v>
                </c:pt>
                <c:pt idx="939">
                  <c:v>-1.8626171253723409</c:v>
                </c:pt>
                <c:pt idx="940">
                  <c:v>-1.879226243379172</c:v>
                </c:pt>
                <c:pt idx="941">
                  <c:v>-1.8958353603772817</c:v>
                </c:pt>
                <c:pt idx="942">
                  <c:v>-1.9124444763665192</c:v>
                </c:pt>
                <c:pt idx="943">
                  <c:v>-1.9290535913467328</c:v>
                </c:pt>
                <c:pt idx="944">
                  <c:v>-1.9456627053177715</c:v>
                </c:pt>
                <c:pt idx="945">
                  <c:v>-1.962271818279484</c:v>
                </c:pt>
                <c:pt idx="946">
                  <c:v>-1.9788809302317192</c:v>
                </c:pt>
                <c:pt idx="947">
                  <c:v>-1.9954900411743257</c:v>
                </c:pt>
                <c:pt idx="948">
                  <c:v>-2.0120991511071522</c:v>
                </c:pt>
                <c:pt idx="949">
                  <c:v>-2.0287082600300477</c:v>
                </c:pt>
                <c:pt idx="950">
                  <c:v>-2.0453173679428605</c:v>
                </c:pt>
                <c:pt idx="951">
                  <c:v>-2.06192647484544</c:v>
                </c:pt>
                <c:pt idx="952">
                  <c:v>-2.0785355807376344</c:v>
                </c:pt>
                <c:pt idx="953">
                  <c:v>-2.0951446856192928</c:v>
                </c:pt>
                <c:pt idx="954">
                  <c:v>-2.1117537894902636</c:v>
                </c:pt>
                <c:pt idx="955">
                  <c:v>-2.1283628923503959</c:v>
                </c:pt>
                <c:pt idx="956">
                  <c:v>-2.1449719941995382</c:v>
                </c:pt>
                <c:pt idx="957">
                  <c:v>-2.1615810950375396</c:v>
                </c:pt>
                <c:pt idx="958">
                  <c:v>-2.1781901948642486</c:v>
                </c:pt>
                <c:pt idx="959">
                  <c:v>-2.1947992936795142</c:v>
                </c:pt>
                <c:pt idx="960">
                  <c:v>-2.211408391483185</c:v>
                </c:pt>
                <c:pt idx="961">
                  <c:v>-2.22801748827511</c:v>
                </c:pt>
                <c:pt idx="962">
                  <c:v>-2.2446265840551378</c:v>
                </c:pt>
                <c:pt idx="963">
                  <c:v>-2.2612356788231169</c:v>
                </c:pt>
                <c:pt idx="964">
                  <c:v>-2.2778447725788964</c:v>
                </c:pt>
                <c:pt idx="965">
                  <c:v>-2.2944538653223252</c:v>
                </c:pt>
                <c:pt idx="966">
                  <c:v>-2.3110629570532519</c:v>
                </c:pt>
                <c:pt idx="967">
                  <c:v>-2.3276720477715256</c:v>
                </c:pt>
                <c:pt idx="968">
                  <c:v>-2.3442811374769947</c:v>
                </c:pt>
                <c:pt idx="969">
                  <c:v>-2.3608902261695079</c:v>
                </c:pt>
                <c:pt idx="970">
                  <c:v>-2.3774993138489142</c:v>
                </c:pt>
                <c:pt idx="971">
                  <c:v>-2.3941084005150626</c:v>
                </c:pt>
                <c:pt idx="972">
                  <c:v>-2.4107174861678016</c:v>
                </c:pt>
                <c:pt idx="973">
                  <c:v>-2.4273265708069798</c:v>
                </c:pt>
                <c:pt idx="974">
                  <c:v>-2.4439356544324462</c:v>
                </c:pt>
                <c:pt idx="975">
                  <c:v>-2.4605447370440499</c:v>
                </c:pt>
                <c:pt idx="976">
                  <c:v>-2.4771538186416393</c:v>
                </c:pt>
                <c:pt idx="977">
                  <c:v>-2.4937628992250636</c:v>
                </c:pt>
                <c:pt idx="978">
                  <c:v>-2.5103719787941712</c:v>
                </c:pt>
                <c:pt idx="979">
                  <c:v>-2.5269810573488107</c:v>
                </c:pt>
                <c:pt idx="980">
                  <c:v>-2.5435901348888317</c:v>
                </c:pt>
                <c:pt idx="981">
                  <c:v>-2.5601992114140826</c:v>
                </c:pt>
                <c:pt idx="982">
                  <c:v>-2.576808286924412</c:v>
                </c:pt>
                <c:pt idx="983">
                  <c:v>-2.5934173614196689</c:v>
                </c:pt>
                <c:pt idx="984">
                  <c:v>-2.610026434899702</c:v>
                </c:pt>
                <c:pt idx="985">
                  <c:v>-2.6266355073643601</c:v>
                </c:pt>
                <c:pt idx="986">
                  <c:v>-2.6432445788134924</c:v>
                </c:pt>
                <c:pt idx="987">
                  <c:v>-2.6598536492469473</c:v>
                </c:pt>
                <c:pt idx="988">
                  <c:v>-2.676462718664574</c:v>
                </c:pt>
                <c:pt idx="989">
                  <c:v>-2.6930717870662209</c:v>
                </c:pt>
                <c:pt idx="990">
                  <c:v>-2.709680854451737</c:v>
                </c:pt>
                <c:pt idx="991">
                  <c:v>-2.726289920820971</c:v>
                </c:pt>
                <c:pt idx="992">
                  <c:v>-2.7428989861737718</c:v>
                </c:pt>
                <c:pt idx="993">
                  <c:v>-2.7595080505099885</c:v>
                </c:pt>
                <c:pt idx="994">
                  <c:v>-2.7761171138294696</c:v>
                </c:pt>
                <c:pt idx="995">
                  <c:v>-2.7927261761320641</c:v>
                </c:pt>
                <c:pt idx="996">
                  <c:v>-2.8093352374176206</c:v>
                </c:pt>
                <c:pt idx="997">
                  <c:v>-2.8259442976859881</c:v>
                </c:pt>
                <c:pt idx="998">
                  <c:v>-2.8425533569370152</c:v>
                </c:pt>
                <c:pt idx="999">
                  <c:v>-2.8591624151705513</c:v>
                </c:pt>
                <c:pt idx="1000">
                  <c:v>-2.8757714723864445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2-4CA2-BA56-E0E46E48A268}"/>
            </c:ext>
          </c:extLst>
        </c:ser>
        <c:ser>
          <c:idx val="4"/>
          <c:order val="3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Trajecto!$B$140:$B$146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Trajecto!$C$138:$C$144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2-4CA2-BA56-E0E46E48A268}"/>
            </c:ext>
          </c:extLst>
        </c:ser>
        <c:ser>
          <c:idx val="5"/>
          <c:order val="4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43.33</c:v>
                </c:pt>
                <c:pt idx="1">
                  <c:v>43.502947616556924</c:v>
                </c:pt>
                <c:pt idx="2">
                  <c:v>43.676191982687143</c:v>
                </c:pt>
                <c:pt idx="3">
                  <c:v>43.850095067925984</c:v>
                </c:pt>
                <c:pt idx="4">
                  <c:v>44.025019448138593</c:v>
                </c:pt>
                <c:pt idx="5">
                  <c:v>44.201328445257381</c:v>
                </c:pt>
                <c:pt idx="6">
                  <c:v>44.379294270544257</c:v>
                </c:pt>
                <c:pt idx="7">
                  <c:v>44.559005732977624</c:v>
                </c:pt>
                <c:pt idx="8">
                  <c:v>44.740459740934682</c:v>
                </c:pt>
                <c:pt idx="9">
                  <c:v>44.923653169871478</c:v>
                </c:pt>
                <c:pt idx="10">
                  <c:v>45.108582862672691</c:v>
                </c:pt>
                <c:pt idx="11">
                  <c:v>45.295245629994866</c:v>
                </c:pt>
                <c:pt idx="12">
                  <c:v>45.483638250603377</c:v>
                </c:pt>
                <c:pt idx="13">
                  <c:v>45.673757471703318</c:v>
                </c:pt>
                <c:pt idx="14">
                  <c:v>45.865600009264661</c:v>
                </c:pt>
                <c:pt idx="15">
                  <c:v>46.059162548341767</c:v>
                </c:pt>
                <c:pt idx="16">
                  <c:v>46.254441743387638</c:v>
                </c:pt>
                <c:pt idx="17">
                  <c:v>46.451434218562952</c:v>
                </c:pt>
                <c:pt idx="18">
                  <c:v>46.650136568040189</c:v>
                </c:pt>
                <c:pt idx="19">
                  <c:v>46.850545356302973</c:v>
                </c:pt>
                <c:pt idx="20">
                  <c:v>47.052657118440862</c:v>
                </c:pt>
                <c:pt idx="21">
                  <c:v>47.256468360439726</c:v>
                </c:pt>
                <c:pt idx="22">
                  <c:v>47.461975559467838</c:v>
                </c:pt>
                <c:pt idx="23">
                  <c:v>47.669175164157927</c:v>
                </c:pt>
                <c:pt idx="24">
                  <c:v>47.878063594885262</c:v>
                </c:pt>
                <c:pt idx="25">
                  <c:v>48.088637244041927</c:v>
                </c:pt>
                <c:pt idx="26">
                  <c:v>48.300892476307446</c:v>
                </c:pt>
                <c:pt idx="27">
                  <c:v>48.514825628915887</c:v>
                </c:pt>
                <c:pt idx="28">
                  <c:v>48.730433011919501</c:v>
                </c:pt>
                <c:pt idx="29">
                  <c:v>48.947710908449132</c:v>
                </c:pt>
                <c:pt idx="30">
                  <c:v>49.166655574971394</c:v>
                </c:pt>
                <c:pt idx="31">
                  <c:v>49.387263241542811</c:v>
                </c:pt>
                <c:pt idx="32">
                  <c:v>49.609530112060966</c:v>
                </c:pt>
                <c:pt idx="33">
                  <c:v>49.833452364512787</c:v>
                </c:pt>
                <c:pt idx="34">
                  <c:v>50.059026151220053</c:v>
                </c:pt>
                <c:pt idx="35">
                  <c:v>50.286247599082223</c:v>
                </c:pt>
                <c:pt idx="36">
                  <c:v>50.515112809816678</c:v>
                </c:pt>
                <c:pt idx="37">
                  <c:v>50.745617860196411</c:v>
                </c:pt>
                <c:pt idx="38">
                  <c:v>50.977758802285315</c:v>
                </c:pt>
                <c:pt idx="39">
                  <c:v>51.211531663671089</c:v>
                </c:pt>
                <c:pt idx="40">
                  <c:v>51.446932447695893</c:v>
                </c:pt>
                <c:pt idx="41">
                  <c:v>51.683957133684743</c:v>
                </c:pt>
                <c:pt idx="42">
                  <c:v>51.922601677171777</c:v>
                </c:pt>
                <c:pt idx="43">
                  <c:v>52.162862010124449</c:v>
                </c:pt>
                <c:pt idx="44">
                  <c:v>52.404734041165682</c:v>
                </c:pt>
                <c:pt idx="45">
                  <c:v>52.648213655794038</c:v>
                </c:pt>
                <c:pt idx="46">
                  <c:v>52.893296716602045</c:v>
                </c:pt>
                <c:pt idx="47">
                  <c:v>53.139979063492589</c:v>
                </c:pt>
                <c:pt idx="48">
                  <c:v>53.388256513893559</c:v>
                </c:pt>
                <c:pt idx="49">
                  <c:v>53.638124862970727</c:v>
                </c:pt>
                <c:pt idx="50">
                  <c:v>53.889579883838913</c:v>
                </c:pt>
                <c:pt idx="51">
                  <c:v>54.142617829547113</c:v>
                </c:pt>
                <c:pt idx="52">
                  <c:v>54.397235936528759</c:v>
                </c:pt>
                <c:pt idx="53">
                  <c:v>54.653431924786922</c:v>
                </c:pt>
                <c:pt idx="54">
                  <c:v>54.911203496575332</c:v>
                </c:pt>
                <c:pt idx="55">
                  <c:v>55.170548336530153</c:v>
                </c:pt>
                <c:pt idx="56">
                  <c:v>55.431464111800835</c:v>
                </c:pt>
                <c:pt idx="57">
                  <c:v>55.693948472180068</c:v>
                </c:pt>
                <c:pt idx="58">
                  <c:v>55.95799905023285</c:v>
                </c:pt>
                <c:pt idx="59">
                  <c:v>56.223613461424684</c:v>
                </c:pt>
                <c:pt idx="60">
                  <c:v>56.490789304248977</c:v>
                </c:pt>
                <c:pt idx="61">
                  <c:v>56.759524160353628</c:v>
                </c:pt>
                <c:pt idx="62">
                  <c:v>57.029815594666786</c:v>
                </c:pt>
                <c:pt idx="63">
                  <c:v>57.301661155521884</c:v>
                </c:pt>
                <c:pt idx="64">
                  <c:v>57.575058374781939</c:v>
                </c:pt>
                <c:pt idx="65">
                  <c:v>57.850004767963064</c:v>
                </c:pt>
                <c:pt idx="66">
                  <c:v>58.12649783435733</c:v>
                </c:pt>
                <c:pt idx="67">
                  <c:v>58.404535057154931</c:v>
                </c:pt>
                <c:pt idx="68">
                  <c:v>58.684113903565631</c:v>
                </c:pt>
                <c:pt idx="69">
                  <c:v>58.965231824939622</c:v>
                </c:pt>
                <c:pt idx="70">
                  <c:v>59.247886256887689</c:v>
                </c:pt>
                <c:pt idx="71">
                  <c:v>59.532074619400774</c:v>
                </c:pt>
                <c:pt idx="72">
                  <c:v>59.817794316968929</c:v>
                </c:pt>
                <c:pt idx="73">
                  <c:v>60.105042738699652</c:v>
                </c:pt>
                <c:pt idx="74">
                  <c:v>60.393817258435696</c:v>
                </c:pt>
                <c:pt idx="75">
                  <c:v>60.684115234872237</c:v>
                </c:pt>
                <c:pt idx="76">
                  <c:v>60.975934011673544</c:v>
                </c:pt>
                <c:pt idx="77">
                  <c:v>61.269270917589083</c:v>
                </c:pt>
                <c:pt idx="78">
                  <c:v>61.564123266569077</c:v>
                </c:pt>
                <c:pt idx="79">
                  <c:v>61.860488357879575</c:v>
                </c:pt>
                <c:pt idx="80">
                  <c:v>62.158363476216998</c:v>
                </c:pt>
                <c:pt idx="81">
                  <c:v>62.457745891822164</c:v>
                </c:pt>
                <c:pt idx="82">
                  <c:v>62.75863286059387</c:v>
                </c:pt>
                <c:pt idx="83">
                  <c:v>63.061021624201949</c:v>
                </c:pt>
                <c:pt idx="84">
                  <c:v>63.364909410199886</c:v>
                </c:pt>
                <c:pt idx="85">
                  <c:v>63.670293432136965</c:v>
                </c:pt>
                <c:pt idx="86">
                  <c:v>63.977170889669956</c:v>
                </c:pt>
                <c:pt idx="87">
                  <c:v>64.285538968674373</c:v>
                </c:pt>
                <c:pt idx="88">
                  <c:v>64.595394841355287</c:v>
                </c:pt>
                <c:pt idx="89">
                  <c:v>64.90673566635769</c:v>
                </c:pt>
                <c:pt idx="90">
                  <c:v>65.219558588876495</c:v>
                </c:pt>
                <c:pt idx="91">
                  <c:v>65.533860740766059</c:v>
                </c:pt>
                <c:pt idx="92">
                  <c:v>65.84963924064931</c:v>
                </c:pt>
                <c:pt idx="93">
                  <c:v>66.166891194026519</c:v>
                </c:pt>
                <c:pt idx="94">
                  <c:v>66.485613693383613</c:v>
                </c:pt>
                <c:pt idx="95">
                  <c:v>66.805803818300149</c:v>
                </c:pt>
                <c:pt idx="96">
                  <c:v>67.127458635556863</c:v>
                </c:pt>
                <c:pt idx="97">
                  <c:v>67.450575199242877</c:v>
                </c:pt>
                <c:pt idx="98">
                  <c:v>67.775150550862492</c:v>
                </c:pt>
                <c:pt idx="99">
                  <c:v>68.101181719441669</c:v>
                </c:pt>
                <c:pt idx="100">
                  <c:v>68.428665721634076</c:v>
                </c:pt>
                <c:pt idx="101">
                  <c:v>68.757599322986124</c:v>
                </c:pt>
                <c:pt idx="102">
                  <c:v>69.087978798695218</c:v>
                </c:pt>
                <c:pt idx="103">
                  <c:v>69.419800172034101</c:v>
                </c:pt>
                <c:pt idx="104">
                  <c:v>69.753059453295094</c:v>
                </c:pt>
                <c:pt idx="105">
                  <c:v>70.087752639922115</c:v>
                </c:pt>
                <c:pt idx="106">
                  <c:v>70.423875716642087</c:v>
                </c:pt>
                <c:pt idx="107">
                  <c:v>70.761424655595889</c:v>
                </c:pt>
                <c:pt idx="108">
                  <c:v>71.100395416468814</c:v>
                </c:pt>
                <c:pt idx="109">
                  <c:v>71.440783946620556</c:v>
                </c:pt>
                <c:pt idx="110">
                  <c:v>71.78258618121464</c:v>
                </c:pt>
                <c:pt idx="111">
                  <c:v>72.125798043347402</c:v>
                </c:pt>
                <c:pt idx="112">
                  <c:v>72.470415444176496</c:v>
                </c:pt>
                <c:pt idx="113">
                  <c:v>72.816434283048878</c:v>
                </c:pt>
                <c:pt idx="114">
                  <c:v>73.16385044762832</c:v>
                </c:pt>
                <c:pt idx="115">
                  <c:v>73.51265981402247</c:v>
                </c:pt>
                <c:pt idx="116">
                  <c:v>73.862858246909425</c:v>
                </c:pt>
                <c:pt idx="117">
                  <c:v>74.2144415996638</c:v>
                </c:pt>
                <c:pt idx="118">
                  <c:v>74.567405714482319</c:v>
                </c:pt>
                <c:pt idx="119">
                  <c:v>74.921746422509003</c:v>
                </c:pt>
                <c:pt idx="120">
                  <c:v>75.277459543959793</c:v>
                </c:pt>
                <c:pt idx="121">
                  <c:v>75.634540888246761</c:v>
                </c:pt>
                <c:pt idx="122">
                  <c:v>75.992986254101865</c:v>
                </c:pt>
                <c:pt idx="123">
                  <c:v>76.352791429700162</c:v>
                </c:pt>
                <c:pt idx="124">
                  <c:v>76.713952192782614</c:v>
                </c:pt>
                <c:pt idx="125">
                  <c:v>77.076464310778434</c:v>
                </c:pt>
                <c:pt idx="126">
                  <c:v>77.440323540926926</c:v>
                </c:pt>
                <c:pt idx="127">
                  <c:v>77.805525630398861</c:v>
                </c:pt>
                <c:pt idx="128">
                  <c:v>78.172066316417457</c:v>
                </c:pt>
                <c:pt idx="129">
                  <c:v>78.539941326378766</c:v>
                </c:pt>
                <c:pt idx="130">
                  <c:v>78.909146377971751</c:v>
                </c:pt>
                <c:pt idx="131">
                  <c:v>79.279677179297764</c:v>
                </c:pt>
                <c:pt idx="132">
                  <c:v>79.651529428989633</c:v>
                </c:pt>
                <c:pt idx="133">
                  <c:v>80.024698816330272</c:v>
                </c:pt>
                <c:pt idx="134">
                  <c:v>80.399181021370836</c:v>
                </c:pt>
                <c:pt idx="135">
                  <c:v>80.774971715048366</c:v>
                </c:pt>
                <c:pt idx="136">
                  <c:v>81.152066559303023</c:v>
                </c:pt>
                <c:pt idx="137">
                  <c:v>81.530461207194847</c:v>
                </c:pt>
                <c:pt idx="138">
                  <c:v>81.910151303020001</c:v>
                </c:pt>
                <c:pt idx="139">
                  <c:v>82.291132482426633</c:v>
                </c:pt>
                <c:pt idx="140">
                  <c:v>82.673400372530196</c:v>
                </c:pt>
                <c:pt idx="141">
                  <c:v>83.056950592028343</c:v>
                </c:pt>
                <c:pt idx="142">
                  <c:v>83.441778751315368</c:v>
                </c:pt>
                <c:pt idx="143">
                  <c:v>83.827880452596105</c:v>
                </c:pt>
                <c:pt idx="144">
                  <c:v>84.215251289999472</c:v>
                </c:pt>
                <c:pt idx="145">
                  <c:v>84.603886849691435</c:v>
                </c:pt>
                <c:pt idx="146">
                  <c:v>84.99378270998757</c:v>
                </c:pt>
                <c:pt idx="147">
                  <c:v>85.384934441465163</c:v>
                </c:pt>
                <c:pt idx="148">
                  <c:v>85.777337607074756</c:v>
                </c:pt>
                <c:pt idx="149">
                  <c:v>86.170987762251329</c:v>
                </c:pt>
                <c:pt idx="150">
                  <c:v>86.565880455024939</c:v>
                </c:pt>
                <c:pt idx="151">
                  <c:v>86.962011309615519</c:v>
                </c:pt>
                <c:pt idx="152">
                  <c:v>87.359376110145419</c:v>
                </c:pt>
                <c:pt idx="153">
                  <c:v>87.757970717347945</c:v>
                </c:pt>
                <c:pt idx="154">
                  <c:v>88.15779098515327</c:v>
                </c:pt>
                <c:pt idx="155">
                  <c:v>88.558832760788448</c:v>
                </c:pt>
                <c:pt idx="156">
                  <c:v>88.961091884877035</c:v>
                </c:pt>
                <c:pt idx="157">
                  <c:v>89.364564191538307</c:v>
                </c:pt>
                <c:pt idx="158">
                  <c:v>89.769245508486065</c:v>
                </c:pt>
                <c:pt idx="159">
                  <c:v>90.175131657126983</c:v>
                </c:pt>
                <c:pt idx="160">
                  <c:v>90.582218452658552</c:v>
                </c:pt>
                <c:pt idx="161">
                  <c:v>90.990501704166576</c:v>
                </c:pt>
                <c:pt idx="162">
                  <c:v>91.399977214722327</c:v>
                </c:pt>
                <c:pt idx="163">
                  <c:v>91.810640781479137</c:v>
                </c:pt>
                <c:pt idx="164">
                  <c:v>92.222488195768676</c:v>
                </c:pt>
                <c:pt idx="165">
                  <c:v>92.635515243196778</c:v>
                </c:pt>
                <c:pt idx="166">
                  <c:v>93.049717703738779</c:v>
                </c:pt>
                <c:pt idx="167">
                  <c:v>93.465091351834516</c:v>
                </c:pt>
                <c:pt idx="168">
                  <c:v>93.881631956482806</c:v>
                </c:pt>
                <c:pt idx="169">
                  <c:v>94.299335281335559</c:v>
                </c:pt>
                <c:pt idx="170">
                  <c:v>94.718197084791413</c:v>
                </c:pt>
                <c:pt idx="171">
                  <c:v>95.138213120088992</c:v>
                </c:pt>
                <c:pt idx="172">
                  <c:v>95.559379135399638</c:v>
                </c:pt>
                <c:pt idx="173">
                  <c:v>95.981690873919803</c:v>
                </c:pt>
                <c:pt idx="174">
                  <c:v>96.40514407396293</c:v>
                </c:pt>
                <c:pt idx="175">
                  <c:v>96.829734469050933</c:v>
                </c:pt>
                <c:pt idx="176">
                  <c:v>97.255457788005245</c:v>
                </c:pt>
                <c:pt idx="177">
                  <c:v>97.682309755037366</c:v>
                </c:pt>
                <c:pt idx="178">
                  <c:v>98.110286089839079</c:v>
                </c:pt>
                <c:pt idx="179">
                  <c:v>98.539382507672087</c:v>
                </c:pt>
                <c:pt idx="180">
                  <c:v>98.969594719457334</c:v>
                </c:pt>
                <c:pt idx="181">
                  <c:v>99.400918431863772</c:v>
                </c:pt>
                <c:pt idx="182">
                  <c:v>99.833349347396762</c:v>
                </c:pt>
                <c:pt idx="183">
                  <c:v>100.26688316448602</c:v>
                </c:pt>
                <c:pt idx="184">
                  <c:v>100.70151557757303</c:v>
                </c:pt>
                <c:pt idx="185">
                  <c:v>101.13724227719815</c:v>
                </c:pt>
                <c:pt idx="186">
                  <c:v>101.57405895008714</c:v>
                </c:pt>
                <c:pt idx="187">
                  <c:v>102.01196127923728</c:v>
                </c:pt>
                <c:pt idx="188">
                  <c:v>102.45094494400313</c:v>
                </c:pt>
                <c:pt idx="189">
                  <c:v>102.89100562018164</c:v>
                </c:pt>
                <c:pt idx="190">
                  <c:v>103.33213898009703</c:v>
                </c:pt>
                <c:pt idx="191">
                  <c:v>103.77434069268503</c:v>
                </c:pt>
                <c:pt idx="192">
                  <c:v>104.2176064235768</c:v>
                </c:pt>
                <c:pt idx="193">
                  <c:v>104.66193183518227</c:v>
                </c:pt>
                <c:pt idx="194">
                  <c:v>105.10731258677318</c:v>
                </c:pt>
                <c:pt idx="195">
                  <c:v>105.55374433456548</c:v>
                </c:pt>
                <c:pt idx="196">
                  <c:v>106.00122273180145</c:v>
                </c:pt>
                <c:pt idx="197">
                  <c:v>106.44974342883121</c:v>
                </c:pt>
                <c:pt idx="198">
                  <c:v>106.89930207319389</c:v>
                </c:pt>
                <c:pt idx="199">
                  <c:v>107.34989430969824</c:v>
                </c:pt>
                <c:pt idx="200">
                  <c:v>107.80151578050285</c:v>
                </c:pt>
                <c:pt idx="201">
                  <c:v>108.25416212519589</c:v>
                </c:pt>
                <c:pt idx="202">
                  <c:v>108.70782898087437</c:v>
                </c:pt>
                <c:pt idx="203">
                  <c:v>109.16251198222292</c:v>
                </c:pt>
                <c:pt idx="204">
                  <c:v>109.61820676159222</c:v>
                </c:pt>
                <c:pt idx="205">
                  <c:v>110.07490894907677</c:v>
                </c:pt>
                <c:pt idx="206">
                  <c:v>110.53261417259239</c:v>
                </c:pt>
                <c:pt idx="207">
                  <c:v>110.99131805795312</c:v>
                </c:pt>
                <c:pt idx="208">
                  <c:v>111.45101622894775</c:v>
                </c:pt>
                <c:pt idx="209">
                  <c:v>111.91170430741576</c:v>
                </c:pt>
                <c:pt idx="210">
                  <c:v>112.37337791332295</c:v>
                </c:pt>
                <c:pt idx="211">
                  <c:v>112.83603266483649</c:v>
                </c:pt>
                <c:pt idx="212">
                  <c:v>113.29966417839954</c:v>
                </c:pt>
                <c:pt idx="213">
                  <c:v>113.76426806880535</c:v>
                </c:pt>
                <c:pt idx="214">
                  <c:v>114.22983994927101</c:v>
                </c:pt>
                <c:pt idx="215">
                  <c:v>114.69637543151063</c:v>
                </c:pt>
                <c:pt idx="216">
                  <c:v>115.16387012580805</c:v>
                </c:pt>
                <c:pt idx="217">
                  <c:v>115.63231964108913</c:v>
                </c:pt>
                <c:pt idx="218">
                  <c:v>116.10171958499355</c:v>
                </c:pt>
                <c:pt idx="219">
                  <c:v>116.57206556394614</c:v>
                </c:pt>
                <c:pt idx="220">
                  <c:v>117.04335318322774</c:v>
                </c:pt>
                <c:pt idx="221">
                  <c:v>117.51557804704555</c:v>
                </c:pt>
                <c:pt idx="222">
                  <c:v>117.98873575860308</c:v>
                </c:pt>
                <c:pt idx="223">
                  <c:v>118.4628219201696</c:v>
                </c:pt>
                <c:pt idx="224">
                  <c:v>118.93783213314906</c:v>
                </c:pt>
                <c:pt idx="225">
                  <c:v>119.41376199814864</c:v>
                </c:pt>
                <c:pt idx="226">
                  <c:v>119.89060711504676</c:v>
                </c:pt>
                <c:pt idx="227">
                  <c:v>120.36836308306063</c:v>
                </c:pt>
                <c:pt idx="228">
                  <c:v>120.84702550081332</c:v>
                </c:pt>
                <c:pt idx="229">
                  <c:v>121.32658996640039</c:v>
                </c:pt>
                <c:pt idx="230">
                  <c:v>121.80705207745606</c:v>
                </c:pt>
                <c:pt idx="231">
                  <c:v>122.2884074312188</c:v>
                </c:pt>
                <c:pt idx="232">
                  <c:v>122.77065162459658</c:v>
                </c:pt>
                <c:pt idx="233">
                  <c:v>123.25378025423157</c:v>
                </c:pt>
                <c:pt idx="234">
                  <c:v>123.73778891656441</c:v>
                </c:pt>
                <c:pt idx="235">
                  <c:v>124.22267320789796</c:v>
                </c:pt>
                <c:pt idx="236">
                  <c:v>124.70842872446062</c:v>
                </c:pt>
                <c:pt idx="237">
                  <c:v>125.19505106246916</c:v>
                </c:pt>
                <c:pt idx="238">
                  <c:v>125.68253581819111</c:v>
                </c:pt>
                <c:pt idx="239">
                  <c:v>126.17087858800662</c:v>
                </c:pt>
                <c:pt idx="240">
                  <c:v>126.66007496846986</c:v>
                </c:pt>
                <c:pt idx="241">
                  <c:v>127.15012055637003</c:v>
                </c:pt>
                <c:pt idx="242">
                  <c:v>127.64101094879179</c:v>
                </c:pt>
                <c:pt idx="243">
                  <c:v>128.13274174317527</c:v>
                </c:pt>
                <c:pt idx="244">
                  <c:v>128.62530853737567</c:v>
                </c:pt>
                <c:pt idx="245">
                  <c:v>129.11870692972226</c:v>
                </c:pt>
                <c:pt idx="246">
                  <c:v>129.61293251907699</c:v>
                </c:pt>
                <c:pt idx="247">
                  <c:v>130.1079809048926</c:v>
                </c:pt>
                <c:pt idx="248">
                  <c:v>130.60384768727036</c:v>
                </c:pt>
                <c:pt idx="249">
                  <c:v>131.10052846701723</c:v>
                </c:pt>
                <c:pt idx="250">
                  <c:v>131.59801884570251</c:v>
                </c:pt>
                <c:pt idx="251">
                  <c:v>132.09631404900452</c:v>
                </c:pt>
                <c:pt idx="252">
                  <c:v>132.59540854992068</c:v>
                </c:pt>
                <c:pt idx="253">
                  <c:v>133.09529644582136</c:v>
                </c:pt>
                <c:pt idx="254">
                  <c:v>133.59597183565205</c:v>
                </c:pt>
                <c:pt idx="255">
                  <c:v>134.09742882001325</c:v>
                </c:pt>
                <c:pt idx="256">
                  <c:v>134.59966150123964</c:v>
                </c:pt>
                <c:pt idx="257">
                  <c:v>135.10266398347841</c:v>
                </c:pt>
                <c:pt idx="258">
                  <c:v>135.60643037276691</c:v>
                </c:pt>
                <c:pt idx="259">
                  <c:v>136.11095477710944</c:v>
                </c:pt>
                <c:pt idx="260">
                  <c:v>136.61623130655337</c:v>
                </c:pt>
                <c:pt idx="261">
                  <c:v>137.12225407326449</c:v>
                </c:pt>
                <c:pt idx="262">
                  <c:v>137.62901719160152</c:v>
                </c:pt>
                <c:pt idx="263">
                  <c:v>138.13651477818999</c:v>
                </c:pt>
                <c:pt idx="264">
                  <c:v>138.64474095199517</c:v>
                </c:pt>
                <c:pt idx="265">
                  <c:v>139.15368983439453</c:v>
                </c:pt>
                <c:pt idx="266">
                  <c:v>139.6633555492491</c:v>
                </c:pt>
                <c:pt idx="267">
                  <c:v>140.17373222297448</c:v>
                </c:pt>
                <c:pt idx="268">
                  <c:v>140.68481398461066</c:v>
                </c:pt>
                <c:pt idx="269">
                  <c:v>141.19659496589148</c:v>
                </c:pt>
                <c:pt idx="270">
                  <c:v>141.70906930131312</c:v>
                </c:pt>
                <c:pt idx="271">
                  <c:v>142.22223112820186</c:v>
                </c:pt>
                <c:pt idx="272">
                  <c:v>142.73607458678123</c:v>
                </c:pt>
                <c:pt idx="273">
                  <c:v>143.25059382023824</c:v>
                </c:pt>
                <c:pt idx="274">
                  <c:v>143.76578297478898</c:v>
                </c:pt>
                <c:pt idx="275">
                  <c:v>144.28163619974353</c:v>
                </c:pt>
                <c:pt idx="276">
                  <c:v>144.79814764756995</c:v>
                </c:pt>
                <c:pt idx="277">
                  <c:v>145.31531147395773</c:v>
                </c:pt>
                <c:pt idx="278">
                  <c:v>145.83312183788044</c:v>
                </c:pt>
                <c:pt idx="279">
                  <c:v>146.35157290165753</c:v>
                </c:pt>
                <c:pt idx="280">
                  <c:v>146.87065883101562</c:v>
                </c:pt>
                <c:pt idx="281">
                  <c:v>147.39037379514886</c:v>
                </c:pt>
                <c:pt idx="282">
                  <c:v>147.91071196677873</c:v>
                </c:pt>
                <c:pt idx="283">
                  <c:v>148.43166752221305</c:v>
                </c:pt>
                <c:pt idx="284">
                  <c:v>148.95323464140418</c:v>
                </c:pt>
                <c:pt idx="285">
                  <c:v>149.47540750800664</c:v>
                </c:pt>
                <c:pt idx="286">
                  <c:v>149.99818030943396</c:v>
                </c:pt>
                <c:pt idx="287">
                  <c:v>150.52154723691484</c:v>
                </c:pt>
                <c:pt idx="288">
                  <c:v>151.0455024855485</c:v>
                </c:pt>
                <c:pt idx="289">
                  <c:v>151.57004025435947</c:v>
                </c:pt>
                <c:pt idx="290">
                  <c:v>152.09515474635154</c:v>
                </c:pt>
                <c:pt idx="291">
                  <c:v>152.62084016856113</c:v>
                </c:pt>
                <c:pt idx="292">
                  <c:v>153.14709073210986</c:v>
                </c:pt>
                <c:pt idx="293">
                  <c:v>153.67390065225641</c:v>
                </c:pt>
                <c:pt idx="294">
                  <c:v>154.20126414844779</c:v>
                </c:pt>
                <c:pt idx="295">
                  <c:v>154.72917544436984</c:v>
                </c:pt>
                <c:pt idx="296">
                  <c:v>155.25762876799701</c:v>
                </c:pt>
                <c:pt idx="297">
                  <c:v>155.78661835164152</c:v>
                </c:pt>
                <c:pt idx="298">
                  <c:v>156.31613422100625</c:v>
                </c:pt>
                <c:pt idx="299">
                  <c:v>156.84615798481107</c:v>
                </c:pt>
                <c:pt idx="300">
                  <c:v>157.37666705251925</c:v>
                </c:pt>
                <c:pt idx="301">
                  <c:v>157.90763885173769</c:v>
                </c:pt>
                <c:pt idx="302">
                  <c:v>158.43905082875517</c:v>
                </c:pt>
                <c:pt idx="303">
                  <c:v>158.97088044907176</c:v>
                </c:pt>
                <c:pt idx="304">
                  <c:v>159.50310519791901</c:v>
                </c:pt>
                <c:pt idx="305">
                  <c:v>160.03570258077116</c:v>
                </c:pt>
                <c:pt idx="306">
                  <c:v>160.56865012384731</c:v>
                </c:pt>
                <c:pt idx="307">
                  <c:v>161.10192537460455</c:v>
                </c:pt>
                <c:pt idx="308">
                  <c:v>161.63550590222215</c:v>
                </c:pt>
                <c:pt idx="309">
                  <c:v>162.1693692980767</c:v>
                </c:pt>
                <c:pt idx="310">
                  <c:v>162.70349317620841</c:v>
                </c:pt>
                <c:pt idx="311">
                  <c:v>163.23785517377834</c:v>
                </c:pt>
                <c:pt idx="312">
                  <c:v>163.77243295151683</c:v>
                </c:pt>
                <c:pt idx="313">
                  <c:v>164.30720419416301</c:v>
                </c:pt>
                <c:pt idx="314">
                  <c:v>164.84214661089541</c:v>
                </c:pt>
                <c:pt idx="315">
                  <c:v>165.37723793575384</c:v>
                </c:pt>
                <c:pt idx="316">
                  <c:v>165.91245592805234</c:v>
                </c:pt>
                <c:pt idx="317">
                  <c:v>166.44777837278343</c:v>
                </c:pt>
                <c:pt idx="318">
                  <c:v>166.98318308101364</c:v>
                </c:pt>
                <c:pt idx="319">
                  <c:v>167.51864789027016</c:v>
                </c:pt>
                <c:pt idx="320">
                  <c:v>168.05415066491906</c:v>
                </c:pt>
                <c:pt idx="321">
                  <c:v>168.58967098455386</c:v>
                </c:pt>
                <c:pt idx="322">
                  <c:v>169.12519183097083</c:v>
                </c:pt>
                <c:pt idx="323">
                  <c:v>169.66069789605311</c:v>
                </c:pt>
                <c:pt idx="324">
                  <c:v>170.19617389094972</c:v>
                </c:pt>
                <c:pt idx="325">
                  <c:v>170.73160454621097</c:v>
                </c:pt>
                <c:pt idx="326">
                  <c:v>171.26697461191989</c:v>
                </c:pt>
                <c:pt idx="327">
                  <c:v>171.80226885781954</c:v>
                </c:pt>
                <c:pt idx="328">
                  <c:v>172.33747207343657</c:v>
                </c:pt>
                <c:pt idx="329">
                  <c:v>172.87256906820073</c:v>
                </c:pt>
                <c:pt idx="330">
                  <c:v>173.40754467156054</c:v>
                </c:pt>
                <c:pt idx="331">
                  <c:v>173.94238373309503</c:v>
                </c:pt>
                <c:pt idx="332">
                  <c:v>174.47707112262168</c:v>
                </c:pt>
                <c:pt idx="333">
                  <c:v>175.01159173030049</c:v>
                </c:pt>
                <c:pt idx="334">
                  <c:v>175.54593046673432</c:v>
                </c:pt>
                <c:pt idx="335">
                  <c:v>176.08007226306526</c:v>
                </c:pt>
                <c:pt idx="336">
                  <c:v>176.61400207106749</c:v>
                </c:pt>
                <c:pt idx="337">
                  <c:v>177.1477048632361</c:v>
                </c:pt>
                <c:pt idx="338">
                  <c:v>177.68116563287251</c:v>
                </c:pt>
                <c:pt idx="339">
                  <c:v>178.21436939416594</c:v>
                </c:pt>
                <c:pt idx="340">
                  <c:v>178.74730118227134</c:v>
                </c:pt>
                <c:pt idx="341">
                  <c:v>179.27994605338358</c:v>
                </c:pt>
                <c:pt idx="342">
                  <c:v>179.81228908480816</c:v>
                </c:pt>
                <c:pt idx="343">
                  <c:v>180.34431537502809</c:v>
                </c:pt>
                <c:pt idx="344">
                  <c:v>180.87601004376742</c:v>
                </c:pt>
                <c:pt idx="345">
                  <c:v>181.40735823205108</c:v>
                </c:pt>
                <c:pt idx="346">
                  <c:v>181.93834510226117</c:v>
                </c:pt>
                <c:pt idx="347">
                  <c:v>182.46895583818983</c:v>
                </c:pt>
                <c:pt idx="348">
                  <c:v>182.99917582865402</c:v>
                </c:pt>
                <c:pt idx="349">
                  <c:v>183.52899085086744</c:v>
                </c:pt>
                <c:pt idx="350">
                  <c:v>184.0583868863128</c:v>
                </c:pt>
                <c:pt idx="351">
                  <c:v>184.58734993684399</c:v>
                </c:pt>
                <c:pt idx="352">
                  <c:v>185.11586602471078</c:v>
                </c:pt>
                <c:pt idx="353">
                  <c:v>185.64392119258025</c:v>
                </c:pt>
                <c:pt idx="354">
                  <c:v>186.17150150355536</c:v>
                </c:pt>
                <c:pt idx="355">
                  <c:v>186.69859304119049</c:v>
                </c:pt>
                <c:pt idx="356">
                  <c:v>187.22518190950407</c:v>
                </c:pt>
                <c:pt idx="357">
                  <c:v>187.75125423298823</c:v>
                </c:pt>
                <c:pt idx="358">
                  <c:v>188.27679615661557</c:v>
                </c:pt>
                <c:pt idx="359">
                  <c:v>188.80179384584312</c:v>
                </c:pt>
                <c:pt idx="360">
                  <c:v>189.32623731750891</c:v>
                </c:pt>
                <c:pt idx="361">
                  <c:v>189.8501242651318</c:v>
                </c:pt>
                <c:pt idx="362">
                  <c:v>190.37345621466611</c:v>
                </c:pt>
                <c:pt idx="363">
                  <c:v>190.89623468586959</c:v>
                </c:pt>
                <c:pt idx="364">
                  <c:v>191.41846119233753</c:v>
                </c:pt>
                <c:pt idx="365">
                  <c:v>191.94013724153663</c:v>
                </c:pt>
                <c:pt idx="366">
                  <c:v>192.46126433483872</c:v>
                </c:pt>
                <c:pt idx="367">
                  <c:v>192.98184396755417</c:v>
                </c:pt>
                <c:pt idx="368">
                  <c:v>193.50187762896508</c:v>
                </c:pt>
                <c:pt idx="369">
                  <c:v>194.02136680235824</c:v>
                </c:pt>
                <c:pt idx="370">
                  <c:v>194.54031296505798</c:v>
                </c:pt>
                <c:pt idx="371">
                  <c:v>195.05871758845856</c:v>
                </c:pt>
                <c:pt idx="372">
                  <c:v>195.57658213805655</c:v>
                </c:pt>
                <c:pt idx="373">
                  <c:v>196.09390807348291</c:v>
                </c:pt>
                <c:pt idx="374">
                  <c:v>196.61069684853481</c:v>
                </c:pt>
                <c:pt idx="375">
                  <c:v>197.1269499112073</c:v>
                </c:pt>
                <c:pt idx="376">
                  <c:v>197.64266870372472</c:v>
                </c:pt>
                <c:pt idx="377">
                  <c:v>198.15785466257191</c:v>
                </c:pt>
                <c:pt idx="378">
                  <c:v>198.67250921852525</c:v>
                </c:pt>
                <c:pt idx="379">
                  <c:v>199.1866337966834</c:v>
                </c:pt>
                <c:pt idx="380">
                  <c:v>199.70022981649788</c:v>
                </c:pt>
                <c:pt idx="381">
                  <c:v>200.21329869180352</c:v>
                </c:pt>
                <c:pt idx="382">
                  <c:v>200.72584183084848</c:v>
                </c:pt>
                <c:pt idx="383">
                  <c:v>201.2378606363244</c:v>
                </c:pt>
                <c:pt idx="384">
                  <c:v>201.74935650539598</c:v>
                </c:pt>
                <c:pt idx="385">
                  <c:v>202.26033082973069</c:v>
                </c:pt>
                <c:pt idx="386">
                  <c:v>202.770784995528</c:v>
                </c:pt>
                <c:pt idx="387">
                  <c:v>203.28072038354867</c:v>
                </c:pt>
                <c:pt idx="388">
                  <c:v>203.79013836914362</c:v>
                </c:pt>
                <c:pt idx="389">
                  <c:v>204.29904032228276</c:v>
                </c:pt>
                <c:pt idx="390">
                  <c:v>204.80742760758358</c:v>
                </c:pt>
                <c:pt idx="391">
                  <c:v>205.31530158433947</c:v>
                </c:pt>
                <c:pt idx="392">
                  <c:v>205.82266360654799</c:v>
                </c:pt>
                <c:pt idx="393">
                  <c:v>206.32951502293886</c:v>
                </c:pt>
                <c:pt idx="394">
                  <c:v>206.83585717700183</c:v>
                </c:pt>
                <c:pt idx="395">
                  <c:v>207.3416914070142</c:v>
                </c:pt>
                <c:pt idx="396">
                  <c:v>207.84701904606843</c:v>
                </c:pt>
                <c:pt idx="397">
                  <c:v>208.35184142209934</c:v>
                </c:pt>
                <c:pt idx="398">
                  <c:v>208.85615985791122</c:v>
                </c:pt>
                <c:pt idx="399">
                  <c:v>209.35997567120472</c:v>
                </c:pt>
                <c:pt idx="400">
                  <c:v>209.86329017460363</c:v>
                </c:pt>
                <c:pt idx="401">
                  <c:v>214.86896444466802</c:v>
                </c:pt>
                <c:pt idx="402">
                  <c:v>219.82534868628761</c:v>
                </c:pt>
                <c:pt idx="403">
                  <c:v>224.73370848918685</c:v>
                </c:pt>
                <c:pt idx="404">
                  <c:v>229.5952620517923</c:v>
                </c:pt>
                <c:pt idx="405">
                  <c:v>234.4111825692278</c:v>
                </c:pt>
                <c:pt idx="406">
                  <c:v>239.18260047144855</c:v>
                </c:pt>
                <c:pt idx="407">
                  <c:v>243.91060552273649</c:v>
                </c:pt>
                <c:pt idx="408">
                  <c:v>248.59624879280662</c:v>
                </c:pt>
                <c:pt idx="409">
                  <c:v>253.24054450889594</c:v>
                </c:pt>
                <c:pt idx="410">
                  <c:v>257.84447179741449</c:v>
                </c:pt>
                <c:pt idx="411">
                  <c:v>262.40897632302153</c:v>
                </c:pt>
                <c:pt idx="412">
                  <c:v>266.93497183234126</c:v>
                </c:pt>
                <c:pt idx="413">
                  <c:v>271.42334160894427</c:v>
                </c:pt>
                <c:pt idx="414">
                  <c:v>275.87493984568789</c:v>
                </c:pt>
                <c:pt idx="415">
                  <c:v>280.29059294002292</c:v>
                </c:pt>
                <c:pt idx="416">
                  <c:v>284.67110071743383</c:v>
                </c:pt>
                <c:pt idx="417">
                  <c:v>289.01723758777712</c:v>
                </c:pt>
                <c:pt idx="418">
                  <c:v>293.32975363891694</c:v>
                </c:pt>
                <c:pt idx="419">
                  <c:v>297.60937567172181</c:v>
                </c:pt>
                <c:pt idx="420">
                  <c:v>301.85680818018142</c:v>
                </c:pt>
                <c:pt idx="421">
                  <c:v>306.07273428012309</c:v>
                </c:pt>
                <c:pt idx="422">
                  <c:v>310.2578165897508</c:v>
                </c:pt>
                <c:pt idx="423">
                  <c:v>314.41269806499633</c:v>
                </c:pt>
                <c:pt idx="424">
                  <c:v>318.53800279245559</c:v>
                </c:pt>
                <c:pt idx="425">
                  <c:v>322.63433674248705</c:v>
                </c:pt>
                <c:pt idx="426">
                  <c:v>326.70228848486647</c:v>
                </c:pt>
                <c:pt idx="427">
                  <c:v>330.74242986922542</c:v>
                </c:pt>
                <c:pt idx="428">
                  <c:v>334.75531667234787</c:v>
                </c:pt>
                <c:pt idx="429">
                  <c:v>338.74148921425621</c:v>
                </c:pt>
                <c:pt idx="430">
                  <c:v>342.70147294488822</c:v>
                </c:pt>
                <c:pt idx="431">
                  <c:v>346.6357790030458</c:v>
                </c:pt>
                <c:pt idx="432">
                  <c:v>350.54490474918396</c:v>
                </c:pt>
                <c:pt idx="433">
                  <c:v>354.42933427350653</c:v>
                </c:pt>
                <c:pt idx="434">
                  <c:v>358.28953888073875</c:v>
                </c:pt>
                <c:pt idx="435">
                  <c:v>362.12597755285896</c:v>
                </c:pt>
                <c:pt idx="436">
                  <c:v>365.93909739099018</c:v>
                </c:pt>
                <c:pt idx="437">
                  <c:v>369.72933403757509</c:v>
                </c:pt>
                <c:pt idx="438">
                  <c:v>373.49711207988906</c:v>
                </c:pt>
                <c:pt idx="439">
                  <c:v>377.24284543587942</c:v>
                </c:pt>
                <c:pt idx="440">
                  <c:v>380.96693772325835</c:v>
                </c:pt>
                <c:pt idx="441">
                  <c:v>384.66978261272084</c:v>
                </c:pt>
                <c:pt idx="442">
                  <c:v>388.35176416610562</c:v>
                </c:pt>
                <c:pt idx="443">
                  <c:v>392.01325716026878</c:v>
                </c:pt>
                <c:pt idx="444">
                  <c:v>395.65462739739371</c:v>
                </c:pt>
                <c:pt idx="445">
                  <c:v>399.27623200241794</c:v>
                </c:pt>
                <c:pt idx="446">
                  <c:v>402.87841970821876</c:v>
                </c:pt>
                <c:pt idx="447">
                  <c:v>406.46153112916136</c:v>
                </c:pt>
                <c:pt idx="448">
                  <c:v>410.0258990235792</c:v>
                </c:pt>
                <c:pt idx="449">
                  <c:v>413.57184854572336</c:v>
                </c:pt>
                <c:pt idx="450">
                  <c:v>417.09969748768799</c:v>
                </c:pt>
                <c:pt idx="451">
                  <c:v>420.60975651179012</c:v>
                </c:pt>
                <c:pt idx="452">
                  <c:v>424.10232937385547</c:v>
                </c:pt>
                <c:pt idx="453">
                  <c:v>427.57771313783746</c:v>
                </c:pt>
                <c:pt idx="454">
                  <c:v>431.0361983821727</c:v>
                </c:pt>
                <c:pt idx="455">
                  <c:v>434.478069398255</c:v>
                </c:pt>
                <c:pt idx="456">
                  <c:v>437.90360438138896</c:v>
                </c:pt>
                <c:pt idx="457">
                  <c:v>441.31307561456492</c:v>
                </c:pt>
                <c:pt idx="458">
                  <c:v>444.70674964537938</c:v>
                </c:pt>
                <c:pt idx="459">
                  <c:v>448.08488745640727</c:v>
                </c:pt>
                <c:pt idx="460">
                  <c:v>451.44774462931719</c:v>
                </c:pt>
                <c:pt idx="461">
                  <c:v>454.79557150300531</c:v>
                </c:pt>
                <c:pt idx="462">
                  <c:v>458.12861332600937</c:v>
                </c:pt>
                <c:pt idx="463">
                  <c:v>461.44711040345089</c:v>
                </c:pt>
                <c:pt idx="464">
                  <c:v>464.7512982387417</c:v>
                </c:pt>
                <c:pt idx="465">
                  <c:v>468.04140767027809</c:v>
                </c:pt>
                <c:pt idx="466">
                  <c:v>471.31766500333561</c:v>
                </c:pt>
                <c:pt idx="467">
                  <c:v>474.5802921373662</c:v>
                </c:pt>
                <c:pt idx="468">
                  <c:v>477.82950668889026</c:v>
                </c:pt>
                <c:pt idx="469">
                  <c:v>481.06552211016611</c:v>
                </c:pt>
                <c:pt idx="470">
                  <c:v>484.28854780381073</c:v>
                </c:pt>
                <c:pt idx="471">
                  <c:v>487.49878923353742</c:v>
                </c:pt>
                <c:pt idx="472">
                  <c:v>490.69644803116785</c:v>
                </c:pt>
                <c:pt idx="473">
                  <c:v>493.88172210006871</c:v>
                </c:pt>
                <c:pt idx="474">
                  <c:v>497.05480571515568</c:v>
                </c:pt>
                <c:pt idx="475">
                  <c:v>500.21588961960111</c:v>
                </c:pt>
                <c:pt idx="476">
                  <c:v>503.36516111837551</c:v>
                </c:pt>
                <c:pt idx="477">
                  <c:v>506.50280416874614</c:v>
                </c:pt>
                <c:pt idx="478">
                  <c:v>509.6289994678516</c:v>
                </c:pt>
                <c:pt idx="479">
                  <c:v>512.74392453746464</c:v>
                </c:pt>
                <c:pt idx="480">
                  <c:v>515.84775380605083</c:v>
                </c:pt>
                <c:pt idx="481">
                  <c:v>518.94065868822588</c:v>
                </c:pt>
                <c:pt idx="482">
                  <c:v>522.02280766170986</c:v>
                </c:pt>
                <c:pt idx="483">
                  <c:v>525.09436634187159</c:v>
                </c:pt>
                <c:pt idx="484">
                  <c:v>528.15549755395296</c:v>
                </c:pt>
                <c:pt idx="485">
                  <c:v>531.20636140305885</c:v>
                </c:pt>
                <c:pt idx="486">
                  <c:v>534.24711534199412</c:v>
                </c:pt>
                <c:pt idx="487">
                  <c:v>537.27791423702558</c:v>
                </c:pt>
                <c:pt idx="488">
                  <c:v>540.29891043164469</c:v>
                </c:pt>
                <c:pt idx="489">
                  <c:v>543.31025380840072</c:v>
                </c:pt>
                <c:pt idx="490">
                  <c:v>546.31209184887462</c:v>
                </c:pt>
                <c:pt idx="491">
                  <c:v>549.3045696918573</c:v>
                </c:pt>
                <c:pt idx="492">
                  <c:v>552.28783018979641</c:v>
                </c:pt>
                <c:pt idx="493">
                  <c:v>555.26201396356987</c:v>
                </c:pt>
                <c:pt idx="494">
                  <c:v>558.22725945564503</c:v>
                </c:pt>
                <c:pt idx="495">
                  <c:v>561.18370298167679</c:v>
                </c:pt>
                <c:pt idx="496">
                  <c:v>564.13147878059817</c:v>
                </c:pt>
                <c:pt idx="497">
                  <c:v>567.07071906325359</c:v>
                </c:pt>
                <c:pt idx="498">
                  <c:v>570.00155405962187</c:v>
                </c:pt>
                <c:pt idx="499">
                  <c:v>572.92411206467568</c:v>
                </c:pt>
                <c:pt idx="500">
                  <c:v>575.83851948292227</c:v>
                </c:pt>
                <c:pt idx="501">
                  <c:v>578.74490087166532</c:v>
                </c:pt>
                <c:pt idx="502">
                  <c:v>581.64337898303108</c:v>
                </c:pt>
                <c:pt idx="503">
                  <c:v>584.5340748047945</c:v>
                </c:pt>
                <c:pt idx="504">
                  <c:v>587.4171076000448</c:v>
                </c:pt>
                <c:pt idx="505">
                  <c:v>590.29259494572341</c:v>
                </c:pt>
                <c:pt idx="506">
                  <c:v>593.1606527700701</c:v>
                </c:pt>
                <c:pt idx="507">
                  <c:v>596.02139538900735</c:v>
                </c:pt>
                <c:pt idx="508">
                  <c:v>598.87493554149569</c:v>
                </c:pt>
                <c:pt idx="509">
                  <c:v>601.72138442388791</c:v>
                </c:pt>
                <c:pt idx="510">
                  <c:v>604.56085172331052</c:v>
                </c:pt>
                <c:pt idx="511">
                  <c:v>607.39344565009901</c:v>
                </c:pt>
                <c:pt idx="512">
                  <c:v>610.2192729693129</c:v>
                </c:pt>
                <c:pt idx="513">
                  <c:v>613.03843903135316</c:v>
                </c:pt>
                <c:pt idx="514">
                  <c:v>615.85104780170673</c:v>
                </c:pt>
                <c:pt idx="515">
                  <c:v>618.65720188983801</c:v>
                </c:pt>
                <c:pt idx="516">
                  <c:v>621.45700257724889</c:v>
                </c:pt>
                <c:pt idx="517">
                  <c:v>624.25054984472661</c:v>
                </c:pt>
                <c:pt idx="518">
                  <c:v>627.03794239879733</c:v>
                </c:pt>
                <c:pt idx="519">
                  <c:v>629.81927769740207</c:v>
                </c:pt>
                <c:pt idx="520">
                  <c:v>632.59465197481234</c:v>
                </c:pt>
                <c:pt idx="521">
                  <c:v>635.36416026579877</c:v>
                </c:pt>
                <c:pt idx="522">
                  <c:v>638.12789642906773</c:v>
                </c:pt>
                <c:pt idx="523">
                  <c:v>640.88595316997771</c:v>
                </c:pt>
                <c:pt idx="524">
                  <c:v>643.6384220625481</c:v>
                </c:pt>
                <c:pt idx="525">
                  <c:v>646.38539357076979</c:v>
                </c:pt>
                <c:pt idx="526">
                  <c:v>649.12695706922773</c:v>
                </c:pt>
                <c:pt idx="527">
                  <c:v>651.86320086304329</c:v>
                </c:pt>
                <c:pt idx="528">
                  <c:v>654.5942122071441</c:v>
                </c:pt>
                <c:pt idx="529">
                  <c:v>657.32007732486647</c:v>
                </c:pt>
                <c:pt idx="530">
                  <c:v>660.04088142589626</c:v>
                </c:pt>
                <c:pt idx="531">
                  <c:v>662.7567087235509</c:v>
                </c:pt>
                <c:pt idx="532">
                  <c:v>665.46764245140525</c:v>
                </c:pt>
                <c:pt idx="533">
                  <c:v>668.17376487926231</c:v>
                </c:pt>
                <c:pt idx="534">
                  <c:v>670.8751573284685</c:v>
                </c:pt>
                <c:pt idx="535">
                  <c:v>673.5719001865715</c:v>
                </c:pt>
                <c:pt idx="536">
                  <c:v>676.26407292131842</c:v>
                </c:pt>
                <c:pt idx="537">
                  <c:v>678.9517540939878</c:v>
                </c:pt>
                <c:pt idx="538">
                  <c:v>681.63502137205137</c:v>
                </c:pt>
                <c:pt idx="539">
                  <c:v>684.31395154115592</c:v>
                </c:pt>
                <c:pt idx="540">
                  <c:v>686.98862051641663</c:v>
                </c:pt>
                <c:pt idx="541">
                  <c:v>689.6591033530093</c:v>
                </c:pt>
                <c:pt idx="542">
                  <c:v>692.32547425604901</c:v>
                </c:pt>
                <c:pt idx="543">
                  <c:v>694.98780658973874</c:v>
                </c:pt>
                <c:pt idx="544">
                  <c:v>697.64617288577062</c:v>
                </c:pt>
                <c:pt idx="545">
                  <c:v>700.30064485095943</c:v>
                </c:pt>
                <c:pt idx="546">
                  <c:v>702.95129337408548</c:v>
                </c:pt>
                <c:pt idx="547">
                  <c:v>705.59818853192223</c:v>
                </c:pt>
                <c:pt idx="548">
                  <c:v>708.24139959441948</c:v>
                </c:pt>
                <c:pt idx="549">
                  <c:v>710.88099502901207</c:v>
                </c:pt>
                <c:pt idx="550">
                  <c:v>713.51704250401872</c:v>
                </c:pt>
                <c:pt idx="551">
                  <c:v>716.14960889109432</c:v>
                </c:pt>
                <c:pt idx="552">
                  <c:v>718.77876026669378</c:v>
                </c:pt>
                <c:pt idx="553">
                  <c:v>721.40456191250212</c:v>
                </c:pt>
                <c:pt idx="554">
                  <c:v>724.02707831478244</c:v>
                </c:pt>
                <c:pt idx="555">
                  <c:v>726.64637316258745</c:v>
                </c:pt>
                <c:pt idx="556">
                  <c:v>729.26250934477753</c:v>
                </c:pt>
                <c:pt idx="557">
                  <c:v>731.87554894578193</c:v>
                </c:pt>
                <c:pt idx="558">
                  <c:v>734.48555324003689</c:v>
                </c:pt>
                <c:pt idx="559">
                  <c:v>737.09258268502663</c:v>
                </c:pt>
                <c:pt idx="560">
                  <c:v>739.6966969128506</c:v>
                </c:pt>
                <c:pt idx="561">
                  <c:v>742.29795472023432</c:v>
                </c:pt>
                <c:pt idx="562">
                  <c:v>744.89641405689383</c:v>
                </c:pt>
                <c:pt idx="563">
                  <c:v>747.49213201216219</c:v>
                </c:pt>
                <c:pt idx="564">
                  <c:v>750.08516479977777</c:v>
                </c:pt>
                <c:pt idx="565">
                  <c:v>752.67556774073171</c:v>
                </c:pt>
                <c:pt idx="566">
                  <c:v>755.26339524406649</c:v>
                </c:pt>
                <c:pt idx="567">
                  <c:v>757.84870078551387</c:v>
                </c:pt>
                <c:pt idx="568">
                  <c:v>760.43153688385837</c:v>
                </c:pt>
                <c:pt idx="569">
                  <c:v>763.0119550749107</c:v>
                </c:pt>
                <c:pt idx="570">
                  <c:v>765.59000588297613</c:v>
                </c:pt>
                <c:pt idx="571">
                  <c:v>768.16573878970428</c:v>
                </c:pt>
                <c:pt idx="572">
                  <c:v>770.73920220021375</c:v>
                </c:pt>
                <c:pt idx="573">
                  <c:v>773.31044340639141</c:v>
                </c:pt>
                <c:pt idx="574">
                  <c:v>775.87950854727978</c:v>
                </c:pt>
                <c:pt idx="575">
                  <c:v>778.44644256648314</c:v>
                </c:pt>
                <c:pt idx="576">
                  <c:v>781.01128916654432</c:v>
                </c:pt>
                <c:pt idx="577">
                  <c:v>783.57409076027557</c:v>
                </c:pt>
                <c:pt idx="578">
                  <c:v>786.13488841906167</c:v>
                </c:pt>
                <c:pt idx="579">
                  <c:v>788.69372181819892</c:v>
                </c:pt>
                <c:pt idx="580">
                  <c:v>791.2506291793876</c:v>
                </c:pt>
                <c:pt idx="581">
                  <c:v>793.80564721055828</c:v>
                </c:pt>
                <c:pt idx="582">
                  <c:v>796.35881104328519</c:v>
                </c:pt>
                <c:pt idx="583">
                  <c:v>798.91015416812252</c:v>
                </c:pt>
                <c:pt idx="584">
                  <c:v>801.45970836828997</c:v>
                </c:pt>
                <c:pt idx="585">
                  <c:v>804.00750365223075</c:v>
                </c:pt>
                <c:pt idx="586">
                  <c:v>806.55356818567009</c:v>
                </c:pt>
                <c:pt idx="587">
                  <c:v>809.09792822390193</c:v>
                </c:pt>
                <c:pt idx="588">
                  <c:v>811.64060804513463</c:v>
                </c:pt>
                <c:pt idx="589">
                  <c:v>814.1816298858156</c:v>
                </c:pt>
                <c:pt idx="590">
                  <c:v>816.72101387893269</c:v>
                </c:pt>
                <c:pt idx="591">
                  <c:v>819.25877799634372</c:v>
                </c:pt>
                <c:pt idx="592">
                  <c:v>821.79493799621412</c:v>
                </c:pt>
                <c:pt idx="593">
                  <c:v>824.32950737663396</c:v>
                </c:pt>
                <c:pt idx="594">
                  <c:v>826.86249733644399</c:v>
                </c:pt>
                <c:pt idx="595">
                  <c:v>829.39391674421199</c:v>
                </c:pt>
                <c:pt idx="596">
                  <c:v>831.923772116176</c:v>
                </c:pt>
                <c:pt idx="597">
                  <c:v>834.45206760380654</c:v>
                </c:pt>
                <c:pt idx="598">
                  <c:v>836.97880499144617</c:v>
                </c:pt>
                <c:pt idx="599">
                  <c:v>839.50398370426228</c:v>
                </c:pt>
                <c:pt idx="600">
                  <c:v>842.02760082652242</c:v>
                </c:pt>
                <c:pt idx="601">
                  <c:v>844.54965112996513</c:v>
                </c:pt>
                <c:pt idx="602">
                  <c:v>847.07012711182233</c:v>
                </c:pt>
                <c:pt idx="603">
                  <c:v>849.58901904184813</c:v>
                </c:pt>
                <c:pt idx="604">
                  <c:v>852.10631501754335</c:v>
                </c:pt>
                <c:pt idx="605">
                  <c:v>854.62200102663428</c:v>
                </c:pt>
                <c:pt idx="606">
                  <c:v>857.13606101577454</c:v>
                </c:pt>
                <c:pt idx="607">
                  <c:v>859.6484769643929</c:v>
                </c:pt>
                <c:pt idx="608">
                  <c:v>862.15922896259747</c:v>
                </c:pt>
                <c:pt idx="609">
                  <c:v>864.66829529207632</c:v>
                </c:pt>
                <c:pt idx="610">
                  <c:v>867.17565250898417</c:v>
                </c:pt>
                <c:pt idx="611">
                  <c:v>869.68127552788496</c:v>
                </c:pt>
                <c:pt idx="612">
                  <c:v>872.18513770591051</c:v>
                </c:pt>
                <c:pt idx="613">
                  <c:v>874.68721092639623</c:v>
                </c:pt>
                <c:pt idx="614">
                  <c:v>877.18746568136157</c:v>
                </c:pt>
                <c:pt idx="615">
                  <c:v>879.68587115230628</c:v>
                </c:pt>
                <c:pt idx="616">
                  <c:v>882.18239528889296</c:v>
                </c:pt>
                <c:pt idx="617">
                  <c:v>884.67700488518142</c:v>
                </c:pt>
                <c:pt idx="618">
                  <c:v>887.16966565316159</c:v>
                </c:pt>
                <c:pt idx="619">
                  <c:v>889.66034229340869</c:v>
                </c:pt>
                <c:pt idx="620">
                  <c:v>892.14899856274917</c:v>
                </c:pt>
                <c:pt idx="621">
                  <c:v>894.63559733887871</c:v>
                </c:pt>
                <c:pt idx="622">
                  <c:v>897.12010068192228</c:v>
                </c:pt>
                <c:pt idx="623">
                  <c:v>899.60246989296206</c:v>
                </c:pt>
                <c:pt idx="624">
                  <c:v>902.08266556958824</c:v>
                </c:pt>
                <c:pt idx="625">
                  <c:v>904.56064765855376</c:v>
                </c:pt>
                <c:pt idx="626">
                  <c:v>907.03637550562712</c:v>
                </c:pt>
                <c:pt idx="627">
                  <c:v>909.50980790275446</c:v>
                </c:pt>
                <c:pt idx="628">
                  <c:v>911.98090313264674</c:v>
                </c:pt>
                <c:pt idx="629">
                  <c:v>914.44961901091517</c:v>
                </c:pt>
                <c:pt idx="630">
                  <c:v>916.91591292587964</c:v>
                </c:pt>
                <c:pt idx="631">
                  <c:v>919.37974187617465</c:v>
                </c:pt>
                <c:pt idx="632">
                  <c:v>921.8410625062761</c:v>
                </c:pt>
                <c:pt idx="633">
                  <c:v>924.29983114006995</c:v>
                </c:pt>
                <c:pt idx="634">
                  <c:v>926.75600381257823</c:v>
                </c:pt>
                <c:pt idx="635">
                  <c:v>929.2095362999554</c:v>
                </c:pt>
                <c:pt idx="636">
                  <c:v>931.66038414786181</c:v>
                </c:pt>
                <c:pt idx="637">
                  <c:v>934.10850269831565</c:v>
                </c:pt>
                <c:pt idx="638">
                  <c:v>936.55384711512045</c:v>
                </c:pt>
                <c:pt idx="639">
                  <c:v>938.99637240795823</c:v>
                </c:pt>
                <c:pt idx="640">
                  <c:v>941.43603345523479</c:v>
                </c:pt>
                <c:pt idx="641">
                  <c:v>943.87278502575646</c:v>
                </c:pt>
                <c:pt idx="642">
                  <c:v>946.30658179931402</c:v>
                </c:pt>
                <c:pt idx="643">
                  <c:v>948.73737838624379</c:v>
                </c:pt>
                <c:pt idx="644">
                  <c:v>951.16512934603156</c:v>
                </c:pt>
                <c:pt idx="645">
                  <c:v>953.58978920502057</c:v>
                </c:pt>
                <c:pt idx="646">
                  <c:v>956.0113124732801</c:v>
                </c:pt>
                <c:pt idx="647">
                  <c:v>958.42965366068813</c:v>
                </c:pt>
                <c:pt idx="648">
                  <c:v>960.84476729227708</c:v>
                </c:pt>
                <c:pt idx="649">
                  <c:v>963.25660792288807</c:v>
                </c:pt>
                <c:pt idx="650">
                  <c:v>965.66513015117721</c:v>
                </c:pt>
                <c:pt idx="651">
                  <c:v>968.0702886330123</c:v>
                </c:pt>
                <c:pt idx="652">
                  <c:v>970.47203809429755</c:v>
                </c:pt>
                <c:pt idx="653">
                  <c:v>972.87033334325952</c:v>
                </c:pt>
                <c:pt idx="654">
                  <c:v>975.26512928222689</c:v>
                </c:pt>
                <c:pt idx="655">
                  <c:v>977.65638091893254</c:v>
                </c:pt>
                <c:pt idx="656">
                  <c:v>980.04404337736571</c:v>
                </c:pt>
                <c:pt idx="657">
                  <c:v>982.42807190819951</c:v>
                </c:pt>
                <c:pt idx="658">
                  <c:v>984.80842189881719</c:v>
                </c:pt>
                <c:pt idx="659">
                  <c:v>987.18504888295899</c:v>
                </c:pt>
                <c:pt idx="660">
                  <c:v>989.55790855001021</c:v>
                </c:pt>
                <c:pt idx="661">
                  <c:v>991.92695675394873</c:v>
                </c:pt>
                <c:pt idx="662">
                  <c:v>994.29214952197026</c:v>
                </c:pt>
                <c:pt idx="663">
                  <c:v>996.65344306280724</c:v>
                </c:pt>
                <c:pt idx="664">
                  <c:v>999.01079377475673</c:v>
                </c:pt>
                <c:pt idx="665">
                  <c:v>1001.364158253431</c:v>
                </c:pt>
                <c:pt idx="666">
                  <c:v>1003.7134932992449</c:v>
                </c:pt>
                <c:pt idx="667">
                  <c:v>1006.058755924651</c:v>
                </c:pt>
                <c:pt idx="668">
                  <c:v>1008.3999033611357</c:v>
                </c:pt>
                <c:pt idx="669">
                  <c:v>1010.7368930659845</c:v>
                </c:pt>
                <c:pt idx="670">
                  <c:v>1013.0696827288293</c:v>
                </c:pt>
                <c:pt idx="671">
                  <c:v>1015.3982302779842</c:v>
                </c:pt>
                <c:pt idx="672">
                  <c:v>1017.7224938865804</c:v>
                </c:pt>
                <c:pt idx="673">
                  <c:v>1020.0424319785077</c:v>
                </c:pt>
                <c:pt idx="674">
                  <c:v>1022.3580032341696</c:v>
                </c:pt>
                <c:pt idx="675">
                  <c:v>1024.66916659606</c:v>
                </c:pt>
                <c:pt idx="676">
                  <c:v>1026.9758812741673</c:v>
                </c:pt>
                <c:pt idx="677">
                  <c:v>1029.2781067512126</c:v>
                </c:pt>
                <c:pt idx="678">
                  <c:v>1031.5758027877282</c:v>
                </c:pt>
                <c:pt idx="679">
                  <c:v>1033.86892942698</c:v>
                </c:pt>
                <c:pt idx="680">
                  <c:v>1036.1574469997411</c:v>
                </c:pt>
                <c:pt idx="681">
                  <c:v>1038.4413161289208</c:v>
                </c:pt>
                <c:pt idx="682">
                  <c:v>1040.7204977340516</c:v>
                </c:pt>
                <c:pt idx="683">
                  <c:v>1042.9949530356414</c:v>
                </c:pt>
                <c:pt idx="684">
                  <c:v>1045.2646435593927</c:v>
                </c:pt>
                <c:pt idx="685">
                  <c:v>1047.5295311402933</c:v>
                </c:pt>
                <c:pt idx="686">
                  <c:v>1049.7895779265821</c:v>
                </c:pt>
                <c:pt idx="687">
                  <c:v>1052.0447463835922</c:v>
                </c:pt>
                <c:pt idx="688">
                  <c:v>1054.294999297477</c:v>
                </c:pt>
                <c:pt idx="689">
                  <c:v>1056.5402997788192</c:v>
                </c:pt>
                <c:pt idx="690">
                  <c:v>1058.7806112661262</c:v>
                </c:pt>
                <c:pt idx="691">
                  <c:v>1061.0158975292175</c:v>
                </c:pt>
                <c:pt idx="692">
                  <c:v>1063.2461226725013</c:v>
                </c:pt>
                <c:pt idx="693">
                  <c:v>1065.4712511381483</c:v>
                </c:pt>
                <c:pt idx="694">
                  <c:v>1067.6912477091596</c:v>
                </c:pt>
                <c:pt idx="695">
                  <c:v>1069.9060775123351</c:v>
                </c:pt>
                <c:pt idx="696">
                  <c:v>1072.1157060211417</c:v>
                </c:pt>
                <c:pt idx="697">
                  <c:v>1074.3200990584846</c:v>
                </c:pt>
                <c:pt idx="698">
                  <c:v>1076.5192227993823</c:v>
                </c:pt>
                <c:pt idx="699">
                  <c:v>1078.7130437735491</c:v>
                </c:pt>
                <c:pt idx="700">
                  <c:v>1080.9015288678836</c:v>
                </c:pt>
                <c:pt idx="701">
                  <c:v>1083.0846453288675</c:v>
                </c:pt>
                <c:pt idx="702">
                  <c:v>1085.2623607648757</c:v>
                </c:pt>
                <c:pt idx="703">
                  <c:v>1087.4346431483971</c:v>
                </c:pt>
                <c:pt idx="704">
                  <c:v>1089.6014608181699</c:v>
                </c:pt>
                <c:pt idx="705">
                  <c:v>1091.7627824812325</c:v>
                </c:pt>
                <c:pt idx="706">
                  <c:v>1093.9185772148887</c:v>
                </c:pt>
                <c:pt idx="707">
                  <c:v>1096.0688144685914</c:v>
                </c:pt>
                <c:pt idx="708">
                  <c:v>1098.2134640657448</c:v>
                </c:pt>
                <c:pt idx="709">
                  <c:v>1100.3524962054257</c:v>
                </c:pt>
                <c:pt idx="710">
                  <c:v>1102.4858814640263</c:v>
                </c:pt>
                <c:pt idx="711">
                  <c:v>1104.6135907968169</c:v>
                </c:pt>
                <c:pt idx="712">
                  <c:v>1106.7355955394337</c:v>
                </c:pt>
                <c:pt idx="713">
                  <c:v>1108.8518674092884</c:v>
                </c:pt>
                <c:pt idx="714">
                  <c:v>1110.9623785069032</c:v>
                </c:pt>
                <c:pt idx="715">
                  <c:v>1113.0671013171711</c:v>
                </c:pt>
                <c:pt idx="716">
                  <c:v>1115.1660087105433</c:v>
                </c:pt>
                <c:pt idx="717">
                  <c:v>1117.2590739441428</c:v>
                </c:pt>
                <c:pt idx="718">
                  <c:v>1119.3462706628065</c:v>
                </c:pt>
                <c:pt idx="719">
                  <c:v>1121.4275729000574</c:v>
                </c:pt>
                <c:pt idx="720">
                  <c:v>1123.5029550790043</c:v>
                </c:pt>
                <c:pt idx="721">
                  <c:v>1125.572392013175</c:v>
                </c:pt>
                <c:pt idx="722">
                  <c:v>1127.6358589072781</c:v>
                </c:pt>
                <c:pt idx="723">
                  <c:v>1129.6933313578986</c:v>
                </c:pt>
                <c:pt idx="724">
                  <c:v>1131.744785354126</c:v>
                </c:pt>
                <c:pt idx="725">
                  <c:v>1133.7901972781156</c:v>
                </c:pt>
                <c:pt idx="726">
                  <c:v>1135.8295439055848</c:v>
                </c:pt>
                <c:pt idx="727">
                  <c:v>1137.8628024062443</c:v>
                </c:pt>
                <c:pt idx="728">
                  <c:v>1139.8899503441646</c:v>
                </c:pt>
                <c:pt idx="729">
                  <c:v>1141.9109656780797</c:v>
                </c:pt>
                <c:pt idx="730">
                  <c:v>1143.9258267616276</c:v>
                </c:pt>
                <c:pt idx="731">
                  <c:v>1145.9345123435287</c:v>
                </c:pt>
                <c:pt idx="732">
                  <c:v>1147.937001567703</c:v>
                </c:pt>
                <c:pt idx="733">
                  <c:v>1149.9332739733263</c:v>
                </c:pt>
                <c:pt idx="734">
                  <c:v>1151.9233094948265</c:v>
                </c:pt>
                <c:pt idx="735">
                  <c:v>1153.9070884618206</c:v>
                </c:pt>
                <c:pt idx="736">
                  <c:v>1155.8845915989928</c:v>
                </c:pt>
                <c:pt idx="737">
                  <c:v>1157.8558000259138</c:v>
                </c:pt>
                <c:pt idx="738">
                  <c:v>1159.8206952568055</c:v>
                </c:pt>
                <c:pt idx="739">
                  <c:v>1161.7792592002447</c:v>
                </c:pt>
                <c:pt idx="740">
                  <c:v>1163.731474158815</c:v>
                </c:pt>
                <c:pt idx="741">
                  <c:v>1165.6773228287</c:v>
                </c:pt>
                <c:pt idx="742">
                  <c:v>1167.6167882992236</c:v>
                </c:pt>
                <c:pt idx="743">
                  <c:v>1169.5498540523358</c:v>
                </c:pt>
                <c:pt idx="744">
                  <c:v>1171.4765039620452</c:v>
                </c:pt>
                <c:pt idx="745">
                  <c:v>1173.3967222937979</c:v>
                </c:pt>
                <c:pt idx="746">
                  <c:v>1175.3104937038054</c:v>
                </c:pt>
                <c:pt idx="747">
                  <c:v>1177.2178032383208</c:v>
                </c:pt>
                <c:pt idx="748">
                  <c:v>1179.1186363328634</c:v>
                </c:pt>
                <c:pt idx="749">
                  <c:v>1181.0129788113941</c:v>
                </c:pt>
                <c:pt idx="750">
                  <c:v>1182.9008168854409</c:v>
                </c:pt>
                <c:pt idx="751">
                  <c:v>1184.7821371531759</c:v>
                </c:pt>
                <c:pt idx="752">
                  <c:v>1186.6569265984433</c:v>
                </c:pt>
                <c:pt idx="753">
                  <c:v>1188.525172589741</c:v>
                </c:pt>
                <c:pt idx="754">
                  <c:v>1190.3868628791547</c:v>
                </c:pt>
                <c:pt idx="755">
                  <c:v>1192.2419856012461</c:v>
                </c:pt>
                <c:pt idx="756">
                  <c:v>1194.0905292718953</c:v>
                </c:pt>
                <c:pt idx="757">
                  <c:v>1195.9324827870985</c:v>
                </c:pt>
                <c:pt idx="758">
                  <c:v>1197.7678354217214</c:v>
                </c:pt>
                <c:pt idx="759">
                  <c:v>1199.5965768282101</c:v>
                </c:pt>
                <c:pt idx="760">
                  <c:v>1201.4186970352571</c:v>
                </c:pt>
                <c:pt idx="761">
                  <c:v>1203.234186446427</c:v>
                </c:pt>
                <c:pt idx="762">
                  <c:v>1205.0430358387396</c:v>
                </c:pt>
                <c:pt idx="763">
                  <c:v>1206.845236361213</c:v>
                </c:pt>
                <c:pt idx="764">
                  <c:v>1208.6407795333653</c:v>
                </c:pt>
                <c:pt idx="765">
                  <c:v>1210.4296572436781</c:v>
                </c:pt>
                <c:pt idx="766">
                  <c:v>1212.2118617480207</c:v>
                </c:pt>
                <c:pt idx="767">
                  <c:v>1213.9873856680358</c:v>
                </c:pt>
                <c:pt idx="768">
                  <c:v>1215.7562219894876</c:v>
                </c:pt>
                <c:pt idx="769">
                  <c:v>1217.5183640605742</c:v>
                </c:pt>
                <c:pt idx="770">
                  <c:v>1219.2738055902028</c:v>
                </c:pt>
                <c:pt idx="771">
                  <c:v>1221.0225406462291</c:v>
                </c:pt>
                <c:pt idx="772">
                  <c:v>1222.7645636536638</c:v>
                </c:pt>
                <c:pt idx="773">
                  <c:v>1224.4998693928426</c:v>
                </c:pt>
                <c:pt idx="774">
                  <c:v>1226.2284529975641</c:v>
                </c:pt>
                <c:pt idx="775">
                  <c:v>1227.9503099531953</c:v>
                </c:pt>
                <c:pt idx="776">
                  <c:v>1229.6654360947437</c:v>
                </c:pt>
                <c:pt idx="777">
                  <c:v>1231.3738276048987</c:v>
                </c:pt>
                <c:pt idx="778">
                  <c:v>1233.0754810120427</c:v>
                </c:pt>
                <c:pt idx="779">
                  <c:v>1234.7703931882313</c:v>
                </c:pt>
                <c:pt idx="780">
                  <c:v>1236.4585613471443</c:v>
                </c:pt>
                <c:pt idx="781">
                  <c:v>1238.139983042008</c:v>
                </c:pt>
                <c:pt idx="782">
                  <c:v>1239.8146561634901</c:v>
                </c:pt>
                <c:pt idx="783">
                  <c:v>1241.4825789375661</c:v>
                </c:pt>
                <c:pt idx="784">
                  <c:v>1243.1437499233593</c:v>
                </c:pt>
                <c:pt idx="785">
                  <c:v>1244.7981680109554</c:v>
                </c:pt>
                <c:pt idx="786">
                  <c:v>1246.4458324191905</c:v>
                </c:pt>
                <c:pt idx="787">
                  <c:v>1248.0867426934155</c:v>
                </c:pt>
                <c:pt idx="788">
                  <c:v>1249.7208987032361</c:v>
                </c:pt>
                <c:pt idx="789">
                  <c:v>1251.3483006402284</c:v>
                </c:pt>
                <c:pt idx="790">
                  <c:v>1252.9689490156336</c:v>
                </c:pt>
                <c:pt idx="791">
                  <c:v>1254.5828446580285</c:v>
                </c:pt>
                <c:pt idx="792">
                  <c:v>1256.1899887109764</c:v>
                </c:pt>
                <c:pt idx="793">
                  <c:v>1257.7903826306556</c:v>
                </c:pt>
                <c:pt idx="794">
                  <c:v>1259.3840281834691</c:v>
                </c:pt>
                <c:pt idx="795">
                  <c:v>1260.9709274436336</c:v>
                </c:pt>
                <c:pt idx="796">
                  <c:v>1262.5510827907506</c:v>
                </c:pt>
                <c:pt idx="797">
                  <c:v>1264.1244969073584</c:v>
                </c:pt>
                <c:pt idx="798">
                  <c:v>1265.6911727764675</c:v>
                </c:pt>
                <c:pt idx="799">
                  <c:v>1267.2511136790777</c:v>
                </c:pt>
                <c:pt idx="800">
                  <c:v>1268.8043231916799</c:v>
                </c:pt>
                <c:pt idx="801">
                  <c:v>1270.3508051837423</c:v>
                </c:pt>
                <c:pt idx="802">
                  <c:v>1271.89056381518</c:v>
                </c:pt>
                <c:pt idx="803">
                  <c:v>1273.4236035338124</c:v>
                </c:pt>
                <c:pt idx="804">
                  <c:v>1274.9499290728045</c:v>
                </c:pt>
                <c:pt idx="805">
                  <c:v>1276.4695454480964</c:v>
                </c:pt>
                <c:pt idx="806">
                  <c:v>1277.9824579558197</c:v>
                </c:pt>
                <c:pt idx="807">
                  <c:v>1279.4886721697017</c:v>
                </c:pt>
                <c:pt idx="808">
                  <c:v>1280.9881939384579</c:v>
                </c:pt>
                <c:pt idx="809">
                  <c:v>1282.4810293831749</c:v>
                </c:pt>
                <c:pt idx="810">
                  <c:v>1283.9671848946816</c:v>
                </c:pt>
                <c:pt idx="811">
                  <c:v>1285.4466671309108</c:v>
                </c:pt>
                <c:pt idx="812">
                  <c:v>1286.919483014253</c:v>
                </c:pt>
                <c:pt idx="813">
                  <c:v>1288.3856397289003</c:v>
                </c:pt>
                <c:pt idx="814">
                  <c:v>1289.8451447181826</c:v>
                </c:pt>
                <c:pt idx="815">
                  <c:v>1291.2980056818972</c:v>
                </c:pt>
                <c:pt idx="816">
                  <c:v>1292.7442305736304</c:v>
                </c:pt>
                <c:pt idx="817">
                  <c:v>1294.183827598074</c:v>
                </c:pt>
                <c:pt idx="818">
                  <c:v>1295.6168052083349</c:v>
                </c:pt>
                <c:pt idx="819">
                  <c:v>1297.0431721032401</c:v>
                </c:pt>
                <c:pt idx="820">
                  <c:v>1298.462937224637</c:v>
                </c:pt>
                <c:pt idx="821">
                  <c:v>1299.8761097546897</c:v>
                </c:pt>
                <c:pt idx="822">
                  <c:v>1301.2826991131712</c:v>
                </c:pt>
                <c:pt idx="823">
                  <c:v>1302.6827149547535</c:v>
                </c:pt>
                <c:pt idx="824">
                  <c:v>1304.0761671662933</c:v>
                </c:pt>
                <c:pt idx="825">
                  <c:v>1305.4630658641181</c:v>
                </c:pt>
                <c:pt idx="826">
                  <c:v>1306.8434213913083</c:v>
                </c:pt>
                <c:pt idx="827">
                  <c:v>1308.2172443149802</c:v>
                </c:pt>
                <c:pt idx="828">
                  <c:v>1309.5845454235671</c:v>
                </c:pt>
                <c:pt idx="829">
                  <c:v>1310.9453357241007</c:v>
                </c:pt>
                <c:pt idx="830">
                  <c:v>1312.2996264394937</c:v>
                </c:pt>
                <c:pt idx="831">
                  <c:v>1313.6474290058222</c:v>
                </c:pt>
                <c:pt idx="832">
                  <c:v>1314.9887550696089</c:v>
                </c:pt>
                <c:pt idx="833">
                  <c:v>1316.3236164851105</c:v>
                </c:pt>
                <c:pt idx="834">
                  <c:v>1317.6520253116046</c:v>
                </c:pt>
                <c:pt idx="835">
                  <c:v>1318.9739938106809</c:v>
                </c:pt>
                <c:pt idx="836">
                  <c:v>1320.2895344435353</c:v>
                </c:pt>
                <c:pt idx="837">
                  <c:v>1321.5986598682671</c:v>
                </c:pt>
                <c:pt idx="838">
                  <c:v>1322.90138293718</c:v>
                </c:pt>
                <c:pt idx="839">
                  <c:v>1324.197716694089</c:v>
                </c:pt>
                <c:pt idx="840">
                  <c:v>1325.48767437163</c:v>
                </c:pt>
                <c:pt idx="841">
                  <c:v>1326.7712693885762</c:v>
                </c:pt>
                <c:pt idx="842">
                  <c:v>1328.04851534716</c:v>
                </c:pt>
                <c:pt idx="843">
                  <c:v>1329.3194260303992</c:v>
                </c:pt>
                <c:pt idx="844">
                  <c:v>1330.5840153994322</c:v>
                </c:pt>
                <c:pt idx="845">
                  <c:v>1331.8422975908584</c:v>
                </c:pt>
                <c:pt idx="846">
                  <c:v>1333.0942869140852</c:v>
                </c:pt>
                <c:pt idx="847">
                  <c:v>1334.3399978486848</c:v>
                </c:pt>
                <c:pt idx="848">
                  <c:v>1335.5794450417561</c:v>
                </c:pt>
                <c:pt idx="849">
                  <c:v>1336.8126433052969</c:v>
                </c:pt>
                <c:pt idx="850">
                  <c:v>1338.0396076135842</c:v>
                </c:pt>
                <c:pt idx="851">
                  <c:v>1339.2603531005623</c:v>
                </c:pt>
                <c:pt idx="852">
                  <c:v>1340.4748950572416</c:v>
                </c:pt>
                <c:pt idx="853">
                  <c:v>1341.6832489291066</c:v>
                </c:pt>
                <c:pt idx="854">
                  <c:v>1342.8854303135333</c:v>
                </c:pt>
                <c:pt idx="855">
                  <c:v>1344.0814549572171</c:v>
                </c:pt>
                <c:pt idx="856">
                  <c:v>1345.2713387536112</c:v>
                </c:pt>
                <c:pt idx="857">
                  <c:v>1346.455097740376</c:v>
                </c:pt>
                <c:pt idx="858">
                  <c:v>1347.6327480968396</c:v>
                </c:pt>
                <c:pt idx="859">
                  <c:v>1348.8043061414689</c:v>
                </c:pt>
                <c:pt idx="860">
                  <c:v>1349.9697883293538</c:v>
                </c:pt>
                <c:pt idx="861">
                  <c:v>1351.1292112497019</c:v>
                </c:pt>
                <c:pt idx="862">
                  <c:v>1352.2825916233467</c:v>
                </c:pt>
                <c:pt idx="863">
                  <c:v>1353.4299463002667</c:v>
                </c:pt>
                <c:pt idx="864">
                  <c:v>1354.5712922571192</c:v>
                </c:pt>
                <c:pt idx="865">
                  <c:v>1355.7066465947851</c:v>
                </c:pt>
                <c:pt idx="866">
                  <c:v>1356.8360265359283</c:v>
                </c:pt>
                <c:pt idx="867">
                  <c:v>1357.9594494225682</c:v>
                </c:pt>
                <c:pt idx="868">
                  <c:v>1359.076932713665</c:v>
                </c:pt>
                <c:pt idx="869">
                  <c:v>1360.18849398272</c:v>
                </c:pt>
                <c:pt idx="870">
                  <c:v>1361.29415091539</c:v>
                </c:pt>
                <c:pt idx="871">
                  <c:v>1362.3939213071146</c:v>
                </c:pt>
                <c:pt idx="872">
                  <c:v>1363.4878230607599</c:v>
                </c:pt>
                <c:pt idx="873">
                  <c:v>1364.5758741842753</c:v>
                </c:pt>
                <c:pt idx="874">
                  <c:v>1365.6580927883667</c:v>
                </c:pt>
                <c:pt idx="875">
                  <c:v>1366.7344970841827</c:v>
                </c:pt>
                <c:pt idx="876">
                  <c:v>1367.8051053810186</c:v>
                </c:pt>
                <c:pt idx="877">
                  <c:v>1368.8699360840337</c:v>
                </c:pt>
                <c:pt idx="878">
                  <c:v>1369.9290076919849</c:v>
                </c:pt>
                <c:pt idx="879">
                  <c:v>1370.9823387949766</c:v>
                </c:pt>
                <c:pt idx="880">
                  <c:v>1372.0299480722256</c:v>
                </c:pt>
                <c:pt idx="881">
                  <c:v>1373.0718542898428</c:v>
                </c:pt>
                <c:pt idx="882">
                  <c:v>1374.1080762986305</c:v>
                </c:pt>
                <c:pt idx="883">
                  <c:v>1375.1386330318962</c:v>
                </c:pt>
                <c:pt idx="884">
                  <c:v>1376.1635435032829</c:v>
                </c:pt>
                <c:pt idx="885">
                  <c:v>1377.1828268046158</c:v>
                </c:pt>
                <c:pt idx="886">
                  <c:v>1378.1965021037665</c:v>
                </c:pt>
                <c:pt idx="887">
                  <c:v>1379.2045886425324</c:v>
                </c:pt>
                <c:pt idx="888">
                  <c:v>1380.2071057345345</c:v>
                </c:pt>
                <c:pt idx="889">
                  <c:v>1381.2040727631313</c:v>
                </c:pt>
                <c:pt idx="890">
                  <c:v>1382.1955091793507</c:v>
                </c:pt>
                <c:pt idx="891">
                  <c:v>1383.1814344998379</c:v>
                </c:pt>
                <c:pt idx="892">
                  <c:v>1384.1618683048216</c:v>
                </c:pt>
                <c:pt idx="893">
                  <c:v>1385.136830236097</c:v>
                </c:pt>
                <c:pt idx="894">
                  <c:v>1386.1063399950265</c:v>
                </c:pt>
                <c:pt idx="895">
                  <c:v>1387.0704173405577</c:v>
                </c:pt>
                <c:pt idx="896">
                  <c:v>1388.0290820872594</c:v>
                </c:pt>
                <c:pt idx="897">
                  <c:v>1388.982354103375</c:v>
                </c:pt>
                <c:pt idx="898">
                  <c:v>1389.9302533088926</c:v>
                </c:pt>
                <c:pt idx="899">
                  <c:v>1390.872799673635</c:v>
                </c:pt>
                <c:pt idx="900">
                  <c:v>1391.8100132153659</c:v>
                </c:pt>
                <c:pt idx="901">
                  <c:v>1392.7419139979138</c:v>
                </c:pt>
                <c:pt idx="902">
                  <c:v>1393.6685221293151</c:v>
                </c:pt>
                <c:pt idx="903">
                  <c:v>1394.5898577599735</c:v>
                </c:pt>
                <c:pt idx="904">
                  <c:v>1395.505941080839</c:v>
                </c:pt>
                <c:pt idx="905">
                  <c:v>1396.4167923216035</c:v>
                </c:pt>
                <c:pt idx="906">
                  <c:v>1397.3224317489146</c:v>
                </c:pt>
                <c:pt idx="907">
                  <c:v>1398.2228796646084</c:v>
                </c:pt>
                <c:pt idx="908">
                  <c:v>1399.1181564039596</c:v>
                </c:pt>
                <c:pt idx="909">
                  <c:v>1400.0082823339487</c:v>
                </c:pt>
                <c:pt idx="910">
                  <c:v>1400.8932778515493</c:v>
                </c:pt>
                <c:pt idx="911">
                  <c:v>1401.7731633820315</c:v>
                </c:pt>
                <c:pt idx="912">
                  <c:v>1402.6479593772849</c:v>
                </c:pt>
                <c:pt idx="913">
                  <c:v>1403.517686314158</c:v>
                </c:pt>
                <c:pt idx="914">
                  <c:v>1404.3823646928172</c:v>
                </c:pt>
                <c:pt idx="915">
                  <c:v>1405.2420150351224</c:v>
                </c:pt>
                <c:pt idx="916">
                  <c:v>1406.0966578830221</c:v>
                </c:pt>
                <c:pt idx="917">
                  <c:v>1406.9463137969649</c:v>
                </c:pt>
                <c:pt idx="918">
                  <c:v>1407.7910033543296</c:v>
                </c:pt>
                <c:pt idx="919">
                  <c:v>1408.6307471478742</c:v>
                </c:pt>
                <c:pt idx="920">
                  <c:v>1409.4655657842004</c:v>
                </c:pt>
                <c:pt idx="921">
                  <c:v>1410.2954798822386</c:v>
                </c:pt>
                <c:pt idx="922">
                  <c:v>1411.1205100717489</c:v>
                </c:pt>
                <c:pt idx="923">
                  <c:v>1411.9406769918407</c:v>
                </c:pt>
                <c:pt idx="924">
                  <c:v>1412.7560012895096</c:v>
                </c:pt>
                <c:pt idx="925">
                  <c:v>1413.5665036181922</c:v>
                </c:pt>
                <c:pt idx="926">
                  <c:v>1414.3722046363384</c:v>
                </c:pt>
                <c:pt idx="927">
                  <c:v>1415.1731250060018</c:v>
                </c:pt>
                <c:pt idx="928">
                  <c:v>1415.9692853914469</c:v>
                </c:pt>
                <c:pt idx="929">
                  <c:v>1416.7607064577739</c:v>
                </c:pt>
                <c:pt idx="930">
                  <c:v>1416.7607064577739</c:v>
                </c:pt>
                <c:pt idx="931">
                  <c:v>1416.7607064577739</c:v>
                </c:pt>
                <c:pt idx="932">
                  <c:v>1416.7607064577739</c:v>
                </c:pt>
                <c:pt idx="933">
                  <c:v>1416.7607064577739</c:v>
                </c:pt>
                <c:pt idx="934">
                  <c:v>1416.7607064577739</c:v>
                </c:pt>
                <c:pt idx="935">
                  <c:v>1416.7607064577739</c:v>
                </c:pt>
                <c:pt idx="936">
                  <c:v>1416.7607064577739</c:v>
                </c:pt>
                <c:pt idx="937">
                  <c:v>1416.7607064577739</c:v>
                </c:pt>
                <c:pt idx="938">
                  <c:v>1416.7607064577739</c:v>
                </c:pt>
                <c:pt idx="939">
                  <c:v>1416.7607064577739</c:v>
                </c:pt>
                <c:pt idx="940">
                  <c:v>1416.7607064577739</c:v>
                </c:pt>
                <c:pt idx="941">
                  <c:v>1416.7607064577739</c:v>
                </c:pt>
                <c:pt idx="942">
                  <c:v>1416.7607064577739</c:v>
                </c:pt>
                <c:pt idx="943">
                  <c:v>1416.7607064577739</c:v>
                </c:pt>
                <c:pt idx="944">
                  <c:v>1416.7607064577739</c:v>
                </c:pt>
                <c:pt idx="945">
                  <c:v>1416.7607064577739</c:v>
                </c:pt>
                <c:pt idx="946">
                  <c:v>1416.7607064577739</c:v>
                </c:pt>
                <c:pt idx="947">
                  <c:v>1416.7607064577739</c:v>
                </c:pt>
                <c:pt idx="948">
                  <c:v>1416.7607064577739</c:v>
                </c:pt>
                <c:pt idx="949">
                  <c:v>1416.7607064577739</c:v>
                </c:pt>
                <c:pt idx="950">
                  <c:v>1416.7607064577739</c:v>
                </c:pt>
                <c:pt idx="951">
                  <c:v>1416.7607064577739</c:v>
                </c:pt>
                <c:pt idx="952">
                  <c:v>1416.7607064577739</c:v>
                </c:pt>
                <c:pt idx="953">
                  <c:v>1416.7607064577739</c:v>
                </c:pt>
                <c:pt idx="954">
                  <c:v>1416.7607064577739</c:v>
                </c:pt>
                <c:pt idx="955">
                  <c:v>1416.7607064577739</c:v>
                </c:pt>
                <c:pt idx="956">
                  <c:v>1416.7607064577739</c:v>
                </c:pt>
                <c:pt idx="957">
                  <c:v>1416.7607064577739</c:v>
                </c:pt>
                <c:pt idx="958">
                  <c:v>1416.7607064577739</c:v>
                </c:pt>
                <c:pt idx="959">
                  <c:v>1416.7607064577739</c:v>
                </c:pt>
                <c:pt idx="960">
                  <c:v>1416.7607064577739</c:v>
                </c:pt>
                <c:pt idx="961">
                  <c:v>1416.7607064577739</c:v>
                </c:pt>
                <c:pt idx="962">
                  <c:v>1416.7607064577739</c:v>
                </c:pt>
                <c:pt idx="963">
                  <c:v>1416.7607064577739</c:v>
                </c:pt>
                <c:pt idx="964">
                  <c:v>1416.7607064577739</c:v>
                </c:pt>
                <c:pt idx="965">
                  <c:v>1416.7607064577739</c:v>
                </c:pt>
                <c:pt idx="966">
                  <c:v>1416.7607064577739</c:v>
                </c:pt>
                <c:pt idx="967">
                  <c:v>1416.7607064577739</c:v>
                </c:pt>
                <c:pt idx="968">
                  <c:v>1416.7607064577739</c:v>
                </c:pt>
                <c:pt idx="969">
                  <c:v>1416.7607064577739</c:v>
                </c:pt>
                <c:pt idx="970">
                  <c:v>1416.7607064577739</c:v>
                </c:pt>
                <c:pt idx="971">
                  <c:v>1416.7607064577739</c:v>
                </c:pt>
                <c:pt idx="972">
                  <c:v>1416.7607064577739</c:v>
                </c:pt>
                <c:pt idx="973">
                  <c:v>1416.7607064577739</c:v>
                </c:pt>
                <c:pt idx="974">
                  <c:v>1416.7607064577739</c:v>
                </c:pt>
                <c:pt idx="975">
                  <c:v>1416.7607064577739</c:v>
                </c:pt>
                <c:pt idx="976">
                  <c:v>1416.7607064577739</c:v>
                </c:pt>
                <c:pt idx="977">
                  <c:v>1416.7607064577739</c:v>
                </c:pt>
                <c:pt idx="978">
                  <c:v>1416.7607064577739</c:v>
                </c:pt>
                <c:pt idx="979">
                  <c:v>1416.7607064577739</c:v>
                </c:pt>
                <c:pt idx="980">
                  <c:v>1416.7607064577739</c:v>
                </c:pt>
                <c:pt idx="981">
                  <c:v>1416.7607064577739</c:v>
                </c:pt>
                <c:pt idx="982">
                  <c:v>1416.7607064577739</c:v>
                </c:pt>
                <c:pt idx="983">
                  <c:v>1416.7607064577739</c:v>
                </c:pt>
                <c:pt idx="984">
                  <c:v>1416.7607064577739</c:v>
                </c:pt>
                <c:pt idx="985">
                  <c:v>1416.7607064577739</c:v>
                </c:pt>
                <c:pt idx="986">
                  <c:v>1416.7607064577739</c:v>
                </c:pt>
                <c:pt idx="987">
                  <c:v>1416.7607064577739</c:v>
                </c:pt>
                <c:pt idx="988">
                  <c:v>1416.7607064577739</c:v>
                </c:pt>
                <c:pt idx="989">
                  <c:v>1416.7607064577739</c:v>
                </c:pt>
                <c:pt idx="990">
                  <c:v>1416.7607064577739</c:v>
                </c:pt>
                <c:pt idx="991">
                  <c:v>1416.7607064577739</c:v>
                </c:pt>
                <c:pt idx="992">
                  <c:v>1416.7607064577739</c:v>
                </c:pt>
                <c:pt idx="993">
                  <c:v>1416.7607064577739</c:v>
                </c:pt>
                <c:pt idx="994">
                  <c:v>1416.7607064577739</c:v>
                </c:pt>
                <c:pt idx="995">
                  <c:v>1416.7607064577739</c:v>
                </c:pt>
                <c:pt idx="996">
                  <c:v>1416.7607064577739</c:v>
                </c:pt>
                <c:pt idx="997">
                  <c:v>1416.7607064577739</c:v>
                </c:pt>
                <c:pt idx="998">
                  <c:v>1416.7607064577739</c:v>
                </c:pt>
                <c:pt idx="999">
                  <c:v>1416.7607064577739</c:v>
                </c:pt>
                <c:pt idx="1000">
                  <c:v>1416.7607064577739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358.22</c:v>
                </c:pt>
                <c:pt idx="1">
                  <c:v>359.48699323120798</c:v>
                </c:pt>
                <c:pt idx="2">
                  <c:v>360.75517890128333</c:v>
                </c:pt>
                <c:pt idx="3">
                  <c:v>362.02720502605382</c:v>
                </c:pt>
                <c:pt idx="4">
                  <c:v>363.30571997979428</c:v>
                </c:pt>
                <c:pt idx="5">
                  <c:v>364.59337354548046</c:v>
                </c:pt>
                <c:pt idx="6">
                  <c:v>365.89214634546295</c:v>
                </c:pt>
                <c:pt idx="7">
                  <c:v>367.20267761929568</c:v>
                </c:pt>
                <c:pt idx="8">
                  <c:v>368.5249352923118</c:v>
                </c:pt>
                <c:pt idx="9">
                  <c:v>369.8588871748924</c:v>
                </c:pt>
                <c:pt idx="10">
                  <c:v>371.20450096316586</c:v>
                </c:pt>
                <c:pt idx="11">
                  <c:v>372.56174423971169</c:v>
                </c:pt>
                <c:pt idx="12">
                  <c:v>373.9305844742687</c:v>
                </c:pt>
                <c:pt idx="13">
                  <c:v>375.31098902444791</c:v>
                </c:pt>
                <c:pt idx="14">
                  <c:v>376.70292513644944</c:v>
                </c:pt>
                <c:pt idx="15">
                  <c:v>378.10635994578399</c:v>
                </c:pt>
                <c:pt idx="16">
                  <c:v>379.52126047799817</c:v>
                </c:pt>
                <c:pt idx="17">
                  <c:v>380.94759364940404</c:v>
                </c:pt>
                <c:pt idx="18">
                  <c:v>382.38532626781262</c:v>
                </c:pt>
                <c:pt idx="19">
                  <c:v>383.8344250332712</c:v>
                </c:pt>
                <c:pt idx="20">
                  <c:v>385.29485653880454</c:v>
                </c:pt>
                <c:pt idx="21">
                  <c:v>386.76658727115984</c:v>
                </c:pt>
                <c:pt idx="22">
                  <c:v>388.24958361155512</c:v>
                </c:pt>
                <c:pt idx="23">
                  <c:v>389.74381183643141</c:v>
                </c:pt>
                <c:pt idx="24">
                  <c:v>391.24923811820821</c:v>
                </c:pt>
                <c:pt idx="25">
                  <c:v>392.76582852604253</c:v>
                </c:pt>
                <c:pt idx="26">
                  <c:v>394.29354902659088</c:v>
                </c:pt>
                <c:pt idx="27">
                  <c:v>395.83236548477504</c:v>
                </c:pt>
                <c:pt idx="28">
                  <c:v>397.38224366455046</c:v>
                </c:pt>
                <c:pt idx="29">
                  <c:v>398.94314922967789</c:v>
                </c:pt>
                <c:pt idx="30">
                  <c:v>400.51504774449819</c:v>
                </c:pt>
                <c:pt idx="31">
                  <c:v>402.09790467470981</c:v>
                </c:pt>
                <c:pt idx="32">
                  <c:v>403.6916853881491</c:v>
                </c:pt>
                <c:pt idx="33">
                  <c:v>405.29635515557356</c:v>
                </c:pt>
                <c:pt idx="34">
                  <c:v>406.91187915144764</c:v>
                </c:pt>
                <c:pt idx="35">
                  <c:v>408.53822245473111</c:v>
                </c:pt>
                <c:pt idx="36">
                  <c:v>410.17535004966999</c:v>
                </c:pt>
                <c:pt idx="37">
                  <c:v>411.82322682658997</c:v>
                </c:pt>
                <c:pt idx="38">
                  <c:v>413.48181758269214</c:v>
                </c:pt>
                <c:pt idx="39">
                  <c:v>415.15108702285113</c:v>
                </c:pt>
                <c:pt idx="40">
                  <c:v>416.83099976041524</c:v>
                </c:pt>
                <c:pt idx="41">
                  <c:v>418.52152031800892</c:v>
                </c:pt>
                <c:pt idx="42">
                  <c:v>420.22261312833734</c:v>
                </c:pt>
                <c:pt idx="43">
                  <c:v>421.93424253499279</c:v>
                </c:pt>
                <c:pt idx="44">
                  <c:v>423.65637279326319</c:v>
                </c:pt>
                <c:pt idx="45">
                  <c:v>425.38896807094227</c:v>
                </c:pt>
                <c:pt idx="46">
                  <c:v>427.13199244914176</c:v>
                </c:pt>
                <c:pt idx="47">
                  <c:v>428.8854099231051</c:v>
                </c:pt>
                <c:pt idx="48">
                  <c:v>430.6491844030229</c:v>
                </c:pt>
                <c:pt idx="49">
                  <c:v>432.42327971484985</c:v>
                </c:pt>
                <c:pt idx="50">
                  <c:v>434.20765960112328</c:v>
                </c:pt>
                <c:pt idx="51">
                  <c:v>436.00229128152</c:v>
                </c:pt>
                <c:pt idx="52">
                  <c:v>437.80714901800877</c:v>
                </c:pt>
                <c:pt idx="53">
                  <c:v>439.62221056069609</c:v>
                </c:pt>
                <c:pt idx="54">
                  <c:v>441.44745358889804</c:v>
                </c:pt>
                <c:pt idx="55">
                  <c:v>443.28285571160336</c:v>
                </c:pt>
                <c:pt idx="56">
                  <c:v>445.12839446793811</c:v>
                </c:pt>
                <c:pt idx="57">
                  <c:v>446.98404732763231</c:v>
                </c:pt>
                <c:pt idx="58">
                  <c:v>448.84979169148824</c:v>
                </c:pt>
                <c:pt idx="59">
                  <c:v>450.72560489185025</c:v>
                </c:pt>
                <c:pt idx="60">
                  <c:v>452.61146419307659</c:v>
                </c:pt>
                <c:pt idx="61">
                  <c:v>454.50734679201236</c:v>
                </c:pt>
                <c:pt idx="62">
                  <c:v>456.41322981846452</c:v>
                </c:pt>
                <c:pt idx="63">
                  <c:v>458.32909033567802</c:v>
                </c:pt>
                <c:pt idx="64">
                  <c:v>460.25490534081393</c:v>
                </c:pt>
                <c:pt idx="65">
                  <c:v>462.19065176542841</c:v>
                </c:pt>
                <c:pt idx="66">
                  <c:v>464.13630647595375</c:v>
                </c:pt>
                <c:pt idx="67">
                  <c:v>466.09184627418034</c:v>
                </c:pt>
                <c:pt idx="68">
                  <c:v>468.0572478977403</c:v>
                </c:pt>
                <c:pt idx="69">
                  <c:v>470.03248802059233</c:v>
                </c:pt>
                <c:pt idx="70">
                  <c:v>472.01754325350782</c:v>
                </c:pt>
                <c:pt idx="71">
                  <c:v>474.01239014455831</c:v>
                </c:pt>
                <c:pt idx="72">
                  <c:v>476.01700517960404</c:v>
                </c:pt>
                <c:pt idx="73">
                  <c:v>478.03136478278401</c:v>
                </c:pt>
                <c:pt idx="74">
                  <c:v>480.05544531700679</c:v>
                </c:pt>
                <c:pt idx="75">
                  <c:v>482.08922308444272</c:v>
                </c:pt>
                <c:pt idx="76">
                  <c:v>484.13267432701713</c:v>
                </c:pt>
                <c:pt idx="77">
                  <c:v>486.18577522690464</c:v>
                </c:pt>
                <c:pt idx="78">
                  <c:v>488.24850190702443</c:v>
                </c:pt>
                <c:pt idx="79">
                  <c:v>490.32083043153659</c:v>
                </c:pt>
                <c:pt idx="80">
                  <c:v>492.40273680633931</c:v>
                </c:pt>
                <c:pt idx="81">
                  <c:v>494.49419697956705</c:v>
                </c:pt>
                <c:pt idx="82">
                  <c:v>496.59518684208967</c:v>
                </c:pt>
                <c:pt idx="83">
                  <c:v>498.70568222801234</c:v>
                </c:pt>
                <c:pt idx="84">
                  <c:v>500.82565891517618</c:v>
                </c:pt>
                <c:pt idx="85">
                  <c:v>502.95509262565986</c:v>
                </c:pt>
                <c:pt idx="86">
                  <c:v>505.09395902628182</c:v>
                </c:pt>
                <c:pt idx="87">
                  <c:v>507.24223372910342</c:v>
                </c:pt>
                <c:pt idx="88">
                  <c:v>509.39989229193242</c:v>
                </c:pt>
                <c:pt idx="89">
                  <c:v>511.56691021882739</c:v>
                </c:pt>
                <c:pt idx="90">
                  <c:v>513.74326296060281</c:v>
                </c:pt>
                <c:pt idx="91">
                  <c:v>515.92892591533439</c:v>
                </c:pt>
                <c:pt idx="92">
                  <c:v>518.12387442886529</c:v>
                </c:pt>
                <c:pt idx="93">
                  <c:v>520.32808379531275</c:v>
                </c:pt>
                <c:pt idx="94">
                  <c:v>522.54152925757523</c:v>
                </c:pt>
                <c:pt idx="95">
                  <c:v>524.76418600783995</c:v>
                </c:pt>
                <c:pt idx="96">
                  <c:v>526.9960291880908</c:v>
                </c:pt>
                <c:pt idx="97">
                  <c:v>529.23703389061689</c:v>
                </c:pt>
                <c:pt idx="98">
                  <c:v>531.48717515852127</c:v>
                </c:pt>
                <c:pt idx="99">
                  <c:v>533.74642798622995</c:v>
                </c:pt>
                <c:pt idx="100">
                  <c:v>536.01476732000128</c:v>
                </c:pt>
                <c:pt idx="101">
                  <c:v>538.29216640444599</c:v>
                </c:pt>
                <c:pt idx="102">
                  <c:v>540.57859512767118</c:v>
                </c:pt>
                <c:pt idx="103">
                  <c:v>542.87402167499397</c:v>
                </c:pt>
                <c:pt idx="104">
                  <c:v>545.17841418410751</c:v>
                </c:pt>
                <c:pt idx="105">
                  <c:v>547.49174074574341</c:v>
                </c:pt>
                <c:pt idx="106">
                  <c:v>549.8139694043341</c:v>
                </c:pt>
                <c:pt idx="107">
                  <c:v>552.14506815867389</c:v>
                </c:pt>
                <c:pt idx="108">
                  <c:v>554.48500496258009</c:v>
                </c:pt>
                <c:pt idx="109">
                  <c:v>556.83374772555351</c:v>
                </c:pt>
                <c:pt idx="110">
                  <c:v>559.19126431343773</c:v>
                </c:pt>
                <c:pt idx="111">
                  <c:v>561.55752254907839</c:v>
                </c:pt>
                <c:pt idx="112">
                  <c:v>563.93249021298118</c:v>
                </c:pt>
                <c:pt idx="113">
                  <c:v>566.31613504396944</c:v>
                </c:pt>
                <c:pt idx="114">
                  <c:v>568.70842473984055</c:v>
                </c:pt>
                <c:pt idx="115">
                  <c:v>571.10932695802205</c:v>
                </c:pt>
                <c:pt idx="116">
                  <c:v>573.51880931622622</c:v>
                </c:pt>
                <c:pt idx="117">
                  <c:v>575.93683939310404</c:v>
                </c:pt>
                <c:pt idx="118">
                  <c:v>578.36338472889838</c:v>
                </c:pt>
                <c:pt idx="119">
                  <c:v>580.79841282609561</c:v>
                </c:pt>
                <c:pt idx="120">
                  <c:v>583.24189115007687</c:v>
                </c:pt>
                <c:pt idx="121">
                  <c:v>585.69378712976766</c:v>
                </c:pt>
                <c:pt idx="122">
                  <c:v>588.15406815828646</c:v>
                </c:pt>
                <c:pt idx="123">
                  <c:v>590.62270159359264</c:v>
                </c:pt>
                <c:pt idx="124">
                  <c:v>593.09965475913236</c:v>
                </c:pt>
                <c:pt idx="125">
                  <c:v>595.58489494448384</c:v>
                </c:pt>
                <c:pt idx="126">
                  <c:v>598.07838940600118</c:v>
                </c:pt>
                <c:pt idx="127">
                  <c:v>600.58010536745701</c:v>
                </c:pt>
                <c:pt idx="128">
                  <c:v>603.09001002068351</c:v>
                </c:pt>
                <c:pt idx="129">
                  <c:v>605.60807052621226</c:v>
                </c:pt>
                <c:pt idx="130">
                  <c:v>608.13425401391248</c:v>
                </c:pt>
                <c:pt idx="131">
                  <c:v>610.66852758362825</c:v>
                </c:pt>
                <c:pt idx="132">
                  <c:v>613.21085830581387</c:v>
                </c:pt>
                <c:pt idx="133">
                  <c:v>615.76121322216761</c:v>
                </c:pt>
                <c:pt idx="134">
                  <c:v>618.31955934626444</c:v>
                </c:pt>
                <c:pt idx="135">
                  <c:v>620.88586366418645</c:v>
                </c:pt>
                <c:pt idx="136">
                  <c:v>623.46009313515242</c:v>
                </c:pt>
                <c:pt idx="137">
                  <c:v>626.04221469214508</c:v>
                </c:pt>
                <c:pt idx="138">
                  <c:v>628.63219524253725</c:v>
                </c:pt>
                <c:pt idx="139">
                  <c:v>631.23000166871566</c:v>
                </c:pt>
                <c:pt idx="140">
                  <c:v>633.83560082870372</c:v>
                </c:pt>
                <c:pt idx="141">
                  <c:v>636.4489595567818</c:v>
                </c:pt>
                <c:pt idx="142">
                  <c:v>639.07004466410649</c:v>
                </c:pt>
                <c:pt idx="143">
                  <c:v>641.69882293932721</c:v>
                </c:pt>
                <c:pt idx="144">
                  <c:v>644.33526114920153</c:v>
                </c:pt>
                <c:pt idx="145">
                  <c:v>646.97932603920833</c:v>
                </c:pt>
                <c:pt idx="146">
                  <c:v>649.63098433415917</c:v>
                </c:pt>
                <c:pt idx="147">
                  <c:v>652.29020273880758</c:v>
                </c:pt>
                <c:pt idx="148">
                  <c:v>654.95694793845644</c:v>
                </c:pt>
                <c:pt idx="149">
                  <c:v>657.63118659956353</c:v>
                </c:pt>
                <c:pt idx="150">
                  <c:v>660.31288537034447</c:v>
                </c:pt>
                <c:pt idx="151">
                  <c:v>663.00201144821119</c:v>
                </c:pt>
                <c:pt idx="152">
                  <c:v>665.69853314739169</c:v>
                </c:pt>
                <c:pt idx="153">
                  <c:v>668.4024193324384</c:v>
                </c:pt>
                <c:pt idx="154">
                  <c:v>671.11363885152809</c:v>
                </c:pt>
                <c:pt idx="155">
                  <c:v>673.83216053700721</c:v>
                </c:pt>
                <c:pt idx="156">
                  <c:v>676.55795320593597</c:v>
                </c:pt>
                <c:pt idx="157">
                  <c:v>679.29098566062976</c:v>
                </c:pt>
                <c:pt idx="158">
                  <c:v>682.03122668919934</c:v>
                </c:pt>
                <c:pt idx="159">
                  <c:v>684.77864506608853</c:v>
                </c:pt>
                <c:pt idx="160">
                  <c:v>687.53320955261029</c:v>
                </c:pt>
                <c:pt idx="161">
                  <c:v>690.29488889748052</c:v>
                </c:pt>
                <c:pt idx="162">
                  <c:v>693.06365183735011</c:v>
                </c:pt>
                <c:pt idx="163">
                  <c:v>695.83946709733482</c:v>
                </c:pt>
                <c:pt idx="164">
                  <c:v>698.62230339154303</c:v>
                </c:pt>
                <c:pt idx="165">
                  <c:v>701.41212942360141</c:v>
                </c:pt>
                <c:pt idx="166">
                  <c:v>704.20891388717848</c:v>
                </c:pt>
                <c:pt idx="167">
                  <c:v>707.01262546650628</c:v>
                </c:pt>
                <c:pt idx="168">
                  <c:v>709.82323283689971</c:v>
                </c:pt>
                <c:pt idx="169">
                  <c:v>712.64070466527335</c:v>
                </c:pt>
                <c:pt idx="170">
                  <c:v>715.46500961065692</c:v>
                </c:pt>
                <c:pt idx="171">
                  <c:v>718.29611632470767</c:v>
                </c:pt>
                <c:pt idx="172">
                  <c:v>721.13399345222103</c:v>
                </c:pt>
                <c:pt idx="173">
                  <c:v>723.97860963163907</c:v>
                </c:pt>
                <c:pt idx="174">
                  <c:v>726.82993349555636</c:v>
                </c:pt>
                <c:pt idx="175">
                  <c:v>729.68793367122373</c:v>
                </c:pt>
                <c:pt idx="176">
                  <c:v>732.55257878104987</c:v>
                </c:pt>
                <c:pt idx="177">
                  <c:v>735.4238374431003</c:v>
                </c:pt>
                <c:pt idx="178">
                  <c:v>738.30167827159426</c:v>
                </c:pt>
                <c:pt idx="179">
                  <c:v>741.18606987739929</c:v>
                </c:pt>
                <c:pt idx="180">
                  <c:v>744.07698086852326</c:v>
                </c:pt>
                <c:pt idx="181">
                  <c:v>746.9743798506039</c:v>
                </c:pt>
                <c:pt idx="182">
                  <c:v>749.87823542739625</c:v>
                </c:pt>
                <c:pt idx="183">
                  <c:v>752.78851620125783</c:v>
                </c:pt>
                <c:pt idx="184">
                  <c:v>755.70519077363053</c:v>
                </c:pt>
                <c:pt idx="185">
                  <c:v>758.62822774552126</c:v>
                </c:pt>
                <c:pt idx="186">
                  <c:v>761.55759571797921</c:v>
                </c:pt>
                <c:pt idx="187">
                  <c:v>764.49326329257087</c:v>
                </c:pt>
                <c:pt idx="188">
                  <c:v>767.43519907185282</c:v>
                </c:pt>
                <c:pt idx="189">
                  <c:v>770.38337165984194</c:v>
                </c:pt>
                <c:pt idx="190">
                  <c:v>773.33774966248268</c:v>
                </c:pt>
                <c:pt idx="191">
                  <c:v>776.29830168811247</c:v>
                </c:pt>
                <c:pt idx="192">
                  <c:v>779.26499634792401</c:v>
                </c:pt>
                <c:pt idx="193">
                  <c:v>782.23780225642543</c:v>
                </c:pt>
                <c:pt idx="194">
                  <c:v>785.21668803189777</c:v>
                </c:pt>
                <c:pt idx="195">
                  <c:v>788.20162229684945</c:v>
                </c:pt>
                <c:pt idx="196">
                  <c:v>791.19257367846899</c:v>
                </c:pt>
                <c:pt idx="197">
                  <c:v>794.18951080907448</c:v>
                </c:pt>
                <c:pt idx="198">
                  <c:v>797.19240232656045</c:v>
                </c:pt>
                <c:pt idx="199">
                  <c:v>800.20121687484243</c:v>
                </c:pt>
                <c:pt idx="200">
                  <c:v>803.21592310429901</c:v>
                </c:pt>
                <c:pt idx="201">
                  <c:v>806.2364896722105</c:v>
                </c:pt>
                <c:pt idx="202">
                  <c:v>809.2628852431958</c:v>
                </c:pt>
                <c:pt idx="203">
                  <c:v>812.29507848964613</c:v>
                </c:pt>
                <c:pt idx="204">
                  <c:v>815.33303809215613</c:v>
                </c:pt>
                <c:pt idx="205">
                  <c:v>818.37673273995244</c:v>
                </c:pt>
                <c:pt idx="206">
                  <c:v>821.42613113131938</c:v>
                </c:pt>
                <c:pt idx="207">
                  <c:v>824.48120197402227</c:v>
                </c:pt>
                <c:pt idx="208">
                  <c:v>827.54191398572743</c:v>
                </c:pt>
                <c:pt idx="209">
                  <c:v>830.60823589442043</c:v>
                </c:pt>
                <c:pt idx="210">
                  <c:v>833.68013643882045</c:v>
                </c:pt>
                <c:pt idx="211">
                  <c:v>836.75758436879289</c:v>
                </c:pt>
                <c:pt idx="212">
                  <c:v>839.84054844575871</c:v>
                </c:pt>
                <c:pt idx="213">
                  <c:v>842.92899744310125</c:v>
                </c:pt>
                <c:pt idx="214">
                  <c:v>846.02290014657012</c:v>
                </c:pt>
                <c:pt idx="215">
                  <c:v>849.12222535468266</c:v>
                </c:pt>
                <c:pt idx="216">
                  <c:v>852.22694187912214</c:v>
                </c:pt>
                <c:pt idx="217">
                  <c:v>855.33701854513367</c:v>
                </c:pt>
                <c:pt idx="218">
                  <c:v>858.45242419191709</c:v>
                </c:pt>
                <c:pt idx="219">
                  <c:v>861.57312767301687</c:v>
                </c:pt>
                <c:pt idx="220">
                  <c:v>864.69909785671007</c:v>
                </c:pt>
                <c:pt idx="221">
                  <c:v>867.83030362639033</c:v>
                </c:pt>
                <c:pt idx="222">
                  <c:v>870.9667138809499</c:v>
                </c:pt>
                <c:pt idx="223">
                  <c:v>874.10829753515861</c:v>
                </c:pt>
                <c:pt idx="224">
                  <c:v>877.25502352004025</c:v>
                </c:pt>
                <c:pt idx="225">
                  <c:v>880.40686078324552</c:v>
                </c:pt>
                <c:pt idx="226">
                  <c:v>883.563778289423</c:v>
                </c:pt>
                <c:pt idx="227">
                  <c:v>886.72574502058671</c:v>
                </c:pt>
                <c:pt idx="228">
                  <c:v>889.89272997648106</c:v>
                </c:pt>
                <c:pt idx="229">
                  <c:v>893.06470217494302</c:v>
                </c:pt>
                <c:pt idx="230">
                  <c:v>896.24163065226151</c:v>
                </c:pt>
                <c:pt idx="231">
                  <c:v>899.42348446353355</c:v>
                </c:pt>
                <c:pt idx="232">
                  <c:v>902.61023268301847</c:v>
                </c:pt>
                <c:pt idx="233">
                  <c:v>905.80184440448807</c:v>
                </c:pt>
                <c:pt idx="234">
                  <c:v>908.99828874157515</c:v>
                </c:pt>
                <c:pt idx="235">
                  <c:v>912.19953482811832</c:v>
                </c:pt>
                <c:pt idx="236">
                  <c:v>915.40555181850459</c:v>
                </c:pt>
                <c:pt idx="237">
                  <c:v>918.6163088880088</c:v>
                </c:pt>
                <c:pt idx="238">
                  <c:v>921.83177523313009</c:v>
                </c:pt>
                <c:pt idx="239">
                  <c:v>925.05192007192591</c:v>
                </c:pt>
                <c:pt idx="240">
                  <c:v>928.27671264434309</c:v>
                </c:pt>
                <c:pt idx="241">
                  <c:v>931.50612221254573</c:v>
                </c:pt>
                <c:pt idx="242">
                  <c:v>934.74011806124088</c:v>
                </c:pt>
                <c:pt idx="243">
                  <c:v>937.97866949800061</c:v>
                </c:pt>
                <c:pt idx="244">
                  <c:v>941.22174585358221</c:v>
                </c:pt>
                <c:pt idx="245">
                  <c:v>944.46931648224438</c:v>
                </c:pt>
                <c:pt idx="246">
                  <c:v>947.72135076206166</c:v>
                </c:pt>
                <c:pt idx="247">
                  <c:v>950.97781809523565</c:v>
                </c:pt>
                <c:pt idx="248">
                  <c:v>954.23868790840299</c:v>
                </c:pt>
                <c:pt idx="249">
                  <c:v>957.50392965294111</c:v>
                </c:pt>
                <c:pt idx="250">
                  <c:v>960.7735128052708</c:v>
                </c:pt>
                <c:pt idx="251">
                  <c:v>964.04740439173315</c:v>
                </c:pt>
                <c:pt idx="252">
                  <c:v>967.32556651479206</c:v>
                </c:pt>
                <c:pt idx="253">
                  <c:v>970.60795883360367</c:v>
                </c:pt>
                <c:pt idx="254">
                  <c:v>973.89454104332742</c:v>
                </c:pt>
                <c:pt idx="255">
                  <c:v>977.18527287556026</c:v>
                </c:pt>
                <c:pt idx="256">
                  <c:v>980.48011409876642</c:v>
                </c:pt>
                <c:pt idx="257">
                  <c:v>983.77902451870193</c:v>
                </c:pt>
                <c:pt idx="258">
                  <c:v>987.08196397883557</c:v>
                </c:pt>
                <c:pt idx="259">
                  <c:v>990.38889236076398</c:v>
                </c:pt>
                <c:pt idx="260">
                  <c:v>993.69976958462325</c:v>
                </c:pt>
                <c:pt idx="261">
                  <c:v>997.01455560949512</c:v>
                </c:pt>
                <c:pt idx="262">
                  <c:v>1000.3332104338092</c:v>
                </c:pt>
                <c:pt idx="263">
                  <c:v>1003.65569409574</c:v>
                </c:pt>
                <c:pt idx="264">
                  <c:v>1006.9819666735999</c:v>
                </c:pt>
                <c:pt idx="265">
                  <c:v>1010.3119882862272</c:v>
                </c:pt>
                <c:pt idx="266">
                  <c:v>1013.64571909337</c:v>
                </c:pt>
                <c:pt idx="267">
                  <c:v>1016.9831192960646</c:v>
                </c:pt>
                <c:pt idx="268">
                  <c:v>1020.3241491370112</c:v>
                </c:pt>
                <c:pt idx="269">
                  <c:v>1023.6687689009427</c:v>
                </c:pt>
                <c:pt idx="270">
                  <c:v>1027.0169389149908</c:v>
                </c:pt>
                <c:pt idx="271">
                  <c:v>1030.368619549047</c:v>
                </c:pt>
                <c:pt idx="272">
                  <c:v>1033.7237712161188</c:v>
                </c:pt>
                <c:pt idx="273">
                  <c:v>1037.0823543726817</c:v>
                </c:pt>
                <c:pt idx="274">
                  <c:v>1040.444329519027</c:v>
                </c:pt>
                <c:pt idx="275">
                  <c:v>1043.8096571996043</c:v>
                </c:pt>
                <c:pt idx="276">
                  <c:v>1047.1782980033609</c:v>
                </c:pt>
                <c:pt idx="277">
                  <c:v>1050.5502125640749</c:v>
                </c:pt>
                <c:pt idx="278">
                  <c:v>1053.9253615606854</c:v>
                </c:pt>
                <c:pt idx="279">
                  <c:v>1057.3037057176182</c:v>
                </c:pt>
                <c:pt idx="280">
                  <c:v>1060.6852058051059</c:v>
                </c:pt>
                <c:pt idx="281">
                  <c:v>1064.0698226395048</c:v>
                </c:pt>
                <c:pt idx="282">
                  <c:v>1067.4575170836067</c:v>
                </c:pt>
                <c:pt idx="283">
                  <c:v>1070.8482500469474</c:v>
                </c:pt>
                <c:pt idx="284">
                  <c:v>1074.2419824861092</c:v>
                </c:pt>
                <c:pt idx="285">
                  <c:v>1077.6386754050204</c:v>
                </c:pt>
                <c:pt idx="286">
                  <c:v>1081.0382898552498</c:v>
                </c:pt>
                <c:pt idx="287">
                  <c:v>1084.4407869362974</c:v>
                </c:pt>
                <c:pt idx="288">
                  <c:v>1087.8461277958804</c:v>
                </c:pt>
                <c:pt idx="289">
                  <c:v>1091.254273630215</c:v>
                </c:pt>
                <c:pt idx="290">
                  <c:v>1094.6651856842939</c:v>
                </c:pt>
                <c:pt idx="291">
                  <c:v>1098.0788252521597</c:v>
                </c:pt>
                <c:pt idx="292">
                  <c:v>1101.4951536771746</c:v>
                </c:pt>
                <c:pt idx="293">
                  <c:v>1104.9141323522845</c:v>
                </c:pt>
                <c:pt idx="294">
                  <c:v>1108.3357227202798</c:v>
                </c:pt>
                <c:pt idx="295">
                  <c:v>1111.7598862740524</c:v>
                </c:pt>
                <c:pt idx="296">
                  <c:v>1115.1865845568475</c:v>
                </c:pt>
                <c:pt idx="297">
                  <c:v>1118.6157791625126</c:v>
                </c:pt>
                <c:pt idx="298">
                  <c:v>1122.0474044417065</c:v>
                </c:pt>
                <c:pt idx="299">
                  <c:v>1125.4813402352108</c:v>
                </c:pt>
                <c:pt idx="300">
                  <c:v>1128.9174392426266</c:v>
                </c:pt>
                <c:pt idx="301">
                  <c:v>1132.3555543654779</c:v>
                </c:pt>
                <c:pt idx="302">
                  <c:v>1135.7955387104471</c:v>
                </c:pt>
                <c:pt idx="303">
                  <c:v>1139.237245592554</c:v>
                </c:pt>
                <c:pt idx="304">
                  <c:v>1142.6805285382816</c:v>
                </c:pt>
                <c:pt idx="305">
                  <c:v>1146.1252412886458</c:v>
                </c:pt>
                <c:pt idx="306">
                  <c:v>1149.5712378022113</c:v>
                </c:pt>
                <c:pt idx="307">
                  <c:v>1153.0183722580523</c:v>
                </c:pt>
                <c:pt idx="308">
                  <c:v>1156.4664990586598</c:v>
                </c:pt>
                <c:pt idx="309">
                  <c:v>1159.9154728327935</c:v>
                </c:pt>
                <c:pt idx="310">
                  <c:v>1163.3651484382806</c:v>
                </c:pt>
                <c:pt idx="311">
                  <c:v>1166.8153809647604</c:v>
                </c:pt>
                <c:pt idx="312">
                  <c:v>1170.2660257363748</c:v>
                </c:pt>
                <c:pt idx="313">
                  <c:v>1173.716938314406</c:v>
                </c:pt>
                <c:pt idx="314">
                  <c:v>1177.1679744998605</c:v>
                </c:pt>
                <c:pt idx="315">
                  <c:v>1180.6189903359998</c:v>
                </c:pt>
                <c:pt idx="316">
                  <c:v>1184.0698421108184</c:v>
                </c:pt>
                <c:pt idx="317">
                  <c:v>1187.5203863594695</c:v>
                </c:pt>
                <c:pt idx="318">
                  <c:v>1190.9704798666369</c:v>
                </c:pt>
                <c:pt idx="319">
                  <c:v>1194.4199796688565</c:v>
                </c:pt>
                <c:pt idx="320">
                  <c:v>1197.8687430567843</c:v>
                </c:pt>
                <c:pt idx="321">
                  <c:v>1201.3166384471067</c:v>
                </c:pt>
                <c:pt idx="322">
                  <c:v>1204.7635562360797</c:v>
                </c:pt>
                <c:pt idx="323">
                  <c:v>1208.2093978909531</c:v>
                </c:pt>
                <c:pt idx="324">
                  <c:v>1211.6540650590343</c:v>
                </c:pt>
                <c:pt idx="325">
                  <c:v>1215.0974595684579</c:v>
                </c:pt>
                <c:pt idx="326">
                  <c:v>1218.5394834289316</c:v>
                </c:pt>
                <c:pt idx="327">
                  <c:v>1221.9800388324593</c:v>
                </c:pt>
                <c:pt idx="328">
                  <c:v>1225.4190281540411</c:v>
                </c:pt>
                <c:pt idx="329">
                  <c:v>1228.8563539523498</c:v>
                </c:pt>
                <c:pt idx="330">
                  <c:v>1232.2919189703846</c:v>
                </c:pt>
                <c:pt idx="331">
                  <c:v>1235.7256261361033</c:v>
                </c:pt>
                <c:pt idx="332">
                  <c:v>1239.1573785630305</c:v>
                </c:pt>
                <c:pt idx="333">
                  <c:v>1242.5870795508445</c:v>
                </c:pt>
                <c:pt idx="334">
                  <c:v>1246.0146325859416</c:v>
                </c:pt>
                <c:pt idx="335">
                  <c:v>1249.4399413419792</c:v>
                </c:pt>
                <c:pt idx="336">
                  <c:v>1252.8629096803959</c:v>
                </c:pt>
                <c:pt idx="337">
                  <c:v>1256.2834416509113</c:v>
                </c:pt>
                <c:pt idx="338">
                  <c:v>1259.7014414920034</c:v>
                </c:pt>
                <c:pt idx="339">
                  <c:v>1263.1168136313652</c:v>
                </c:pt>
                <c:pt idx="340">
                  <c:v>1266.5294626863401</c:v>
                </c:pt>
                <c:pt idx="341">
                  <c:v>1269.9392934643367</c:v>
                </c:pt>
                <c:pt idx="342">
                  <c:v>1273.3462109632226</c:v>
                </c:pt>
                <c:pt idx="343">
                  <c:v>1276.7501203716972</c:v>
                </c:pt>
                <c:pt idx="344">
                  <c:v>1280.1509270696451</c:v>
                </c:pt>
                <c:pt idx="345">
                  <c:v>1283.548536628469</c:v>
                </c:pt>
                <c:pt idx="346">
                  <c:v>1286.942854811402</c:v>
                </c:pt>
                <c:pt idx="347">
                  <c:v>1290.3337875738002</c:v>
                </c:pt>
                <c:pt idx="348">
                  <c:v>1293.721242236345</c:v>
                </c:pt>
                <c:pt idx="349">
                  <c:v>1297.1051286556749</c:v>
                </c:pt>
                <c:pt idx="350">
                  <c:v>1300.4853580464701</c:v>
                </c:pt>
                <c:pt idx="351">
                  <c:v>1303.8618418060305</c:v>
                </c:pt>
                <c:pt idx="352">
                  <c:v>1307.2344915144035</c:v>
                </c:pt>
                <c:pt idx="353">
                  <c:v>1310.603218934496</c:v>
                </c:pt>
                <c:pt idx="354">
                  <c:v>1313.9679360121679</c:v>
                </c:pt>
                <c:pt idx="355">
                  <c:v>1317.3285548763117</c:v>
                </c:pt>
                <c:pt idx="356">
                  <c:v>1320.6849878389141</c:v>
                </c:pt>
                <c:pt idx="357">
                  <c:v>1324.0371473951029</c:v>
                </c:pt>
                <c:pt idx="358">
                  <c:v>1327.3849462231772</c:v>
                </c:pt>
                <c:pt idx="359">
                  <c:v>1330.7282971846223</c:v>
                </c:pt>
                <c:pt idx="360">
                  <c:v>1334.0671377168794</c:v>
                </c:pt>
                <c:pt idx="361">
                  <c:v>1337.4014541689724</c:v>
                </c:pt>
                <c:pt idx="362">
                  <c:v>1340.7312572950639</c:v>
                </c:pt>
                <c:pt idx="363">
                  <c:v>1344.0565578052745</c:v>
                </c:pt>
                <c:pt idx="364">
                  <c:v>1347.3773663659235</c:v>
                </c:pt>
                <c:pt idx="365">
                  <c:v>1350.693693599771</c:v>
                </c:pt>
                <c:pt idx="366">
                  <c:v>1354.0055500862552</c:v>
                </c:pt>
                <c:pt idx="367">
                  <c:v>1357.3129463617308</c:v>
                </c:pt>
                <c:pt idx="368">
                  <c:v>1360.6158929197045</c:v>
                </c:pt>
                <c:pt idx="369">
                  <c:v>1363.9144002110684</c:v>
                </c:pt>
                <c:pt idx="370">
                  <c:v>1367.2084786443331</c:v>
                </c:pt>
                <c:pt idx="371">
                  <c:v>1370.4981385858584</c:v>
                </c:pt>
                <c:pt idx="372">
                  <c:v>1373.7833903600817</c:v>
                </c:pt>
                <c:pt idx="373">
                  <c:v>1377.0642442497469</c:v>
                </c:pt>
                <c:pt idx="374">
                  <c:v>1380.3407104961293</c:v>
                </c:pt>
                <c:pt idx="375">
                  <c:v>1383.612799299261</c:v>
                </c:pt>
                <c:pt idx="376">
                  <c:v>1386.8805208181534</c:v>
                </c:pt>
                <c:pt idx="377">
                  <c:v>1390.1438851710191</c:v>
                </c:pt>
                <c:pt idx="378">
                  <c:v>1393.4029024354913</c:v>
                </c:pt>
                <c:pt idx="379">
                  <c:v>1396.6575826488429</c:v>
                </c:pt>
                <c:pt idx="380">
                  <c:v>1399.9079358082033</c:v>
                </c:pt>
                <c:pt idx="381">
                  <c:v>1403.1539718707736</c:v>
                </c:pt>
                <c:pt idx="382">
                  <c:v>1406.3957007540409</c:v>
                </c:pt>
                <c:pt idx="383">
                  <c:v>1409.6331323359914</c:v>
                </c:pt>
                <c:pt idx="384">
                  <c:v>1412.8662764553208</c:v>
                </c:pt>
                <c:pt idx="385">
                  <c:v>1416.0951429116442</c:v>
                </c:pt>
                <c:pt idx="386">
                  <c:v>1419.3197414657052</c:v>
                </c:pt>
                <c:pt idx="387">
                  <c:v>1422.5400818395822</c:v>
                </c:pt>
                <c:pt idx="388">
                  <c:v>1425.7561737168937</c:v>
                </c:pt>
                <c:pt idx="389">
                  <c:v>1428.9680267430035</c:v>
                </c:pt>
                <c:pt idx="390">
                  <c:v>1432.1756505252224</c:v>
                </c:pt>
                <c:pt idx="391">
                  <c:v>1435.3790546330106</c:v>
                </c:pt>
                <c:pt idx="392">
                  <c:v>1438.578248598177</c:v>
                </c:pt>
                <c:pt idx="393">
                  <c:v>1441.7732419150786</c:v>
                </c:pt>
                <c:pt idx="394">
                  <c:v>1444.9640440408177</c:v>
                </c:pt>
                <c:pt idx="395">
                  <c:v>1448.1506643954383</c:v>
                </c:pt>
                <c:pt idx="396">
                  <c:v>1451.3331123621206</c:v>
                </c:pt>
                <c:pt idx="397">
                  <c:v>1454.5113972873746</c:v>
                </c:pt>
                <c:pt idx="398">
                  <c:v>1457.6855284812327</c:v>
                </c:pt>
                <c:pt idx="399">
                  <c:v>1460.8555152174406</c:v>
                </c:pt>
                <c:pt idx="400">
                  <c:v>1464.0213667336468</c:v>
                </c:pt>
                <c:pt idx="401">
                  <c:v>1495.45315752755</c:v>
                </c:pt>
                <c:pt idx="402">
                  <c:v>1526.4773408599779</c:v>
                </c:pt>
                <c:pt idx="403">
                  <c:v>1557.1028143335948</c:v>
                </c:pt>
                <c:pt idx="404">
                  <c:v>1587.3381388050127</c:v>
                </c:pt>
                <c:pt idx="405">
                  <c:v>1617.1915553144117</c:v>
                </c:pt>
                <c:pt idx="406">
                  <c:v>1646.6710009525584</c:v>
                </c:pt>
                <c:pt idx="407">
                  <c:v>1675.7841237447863</c:v>
                </c:pt>
                <c:pt idx="408">
                  <c:v>1704.5382966246084</c:v>
                </c:pt>
                <c:pt idx="409">
                  <c:v>1732.9406305634075</c:v>
                </c:pt>
                <c:pt idx="410">
                  <c:v>1760.9979869170302</c:v>
                </c:pt>
                <c:pt idx="411">
                  <c:v>1788.7169890450368</c:v>
                </c:pt>
                <c:pt idx="412">
                  <c:v>1816.1040332537536</c:v>
                </c:pt>
                <c:pt idx="413">
                  <c:v>1843.1652991101125</c:v>
                </c:pt>
                <c:pt idx="414">
                  <c:v>1869.9067591694729</c:v>
                </c:pt>
                <c:pt idx="415">
                  <c:v>1896.334188157188</c:v>
                </c:pt>
                <c:pt idx="416">
                  <c:v>1922.4531716405481</c:v>
                </c:pt>
                <c:pt idx="417">
                  <c:v>1948.269114224885</c:v>
                </c:pt>
                <c:pt idx="418">
                  <c:v>1973.7872473050249</c:v>
                </c:pt>
                <c:pt idx="419">
                  <c:v>1999.0126364009052</c:v>
                </c:pt>
                <c:pt idx="420">
                  <c:v>2023.9501881040073</c:v>
                </c:pt>
                <c:pt idx="421">
                  <c:v>2048.604656659274</c:v>
                </c:pt>
                <c:pt idx="422">
                  <c:v>2072.9806502053639</c:v>
                </c:pt>
                <c:pt idx="423">
                  <c:v>2097.0826366944393</c:v>
                </c:pt>
                <c:pt idx="424">
                  <c:v>2120.9149495111496</c:v>
                </c:pt>
                <c:pt idx="425">
                  <c:v>2144.4817928090802</c:v>
                </c:pt>
                <c:pt idx="426">
                  <c:v>2167.7872465816413</c:v>
                </c:pt>
                <c:pt idx="427">
                  <c:v>2190.8352714831963</c:v>
                </c:pt>
                <c:pt idx="428">
                  <c:v>2213.6297134151255</c:v>
                </c:pt>
                <c:pt idx="429">
                  <c:v>2236.1743078905306</c:v>
                </c:pt>
                <c:pt idx="430">
                  <c:v>2258.4726841903484</c:v>
                </c:pt>
                <c:pt idx="431">
                  <c:v>2280.5283693227893</c:v>
                </c:pt>
                <c:pt idx="432">
                  <c:v>2302.3447917972248</c:v>
                </c:pt>
                <c:pt idx="433">
                  <c:v>2323.9252852229206</c:v>
                </c:pt>
                <c:pt idx="434">
                  <c:v>2345.2730917423305</c:v>
                </c:pt>
                <c:pt idx="435">
                  <c:v>2366.3913653080454</c:v>
                </c:pt>
                <c:pt idx="436">
                  <c:v>2387.2831748119015</c:v>
                </c:pt>
                <c:pt idx="437">
                  <c:v>2407.9515070742295</c:v>
                </c:pt>
                <c:pt idx="438">
                  <c:v>2428.3992697007084</c:v>
                </c:pt>
                <c:pt idx="439">
                  <c:v>2448.6292938138395</c:v>
                </c:pt>
                <c:pt idx="440">
                  <c:v>2468.6443366656113</c:v>
                </c:pt>
                <c:pt idx="441">
                  <c:v>2488.4470841375382</c:v>
                </c:pt>
                <c:pt idx="442">
                  <c:v>2508.0401531338707</c:v>
                </c:pt>
                <c:pt idx="443">
                  <c:v>2527.4260938734333</c:v>
                </c:pt>
                <c:pt idx="444">
                  <c:v>2546.6073920852223</c:v>
                </c:pt>
                <c:pt idx="445">
                  <c:v>2565.5864711125937</c:v>
                </c:pt>
                <c:pt idx="446">
                  <c:v>2584.3656939305843</c:v>
                </c:pt>
                <c:pt idx="447">
                  <c:v>2602.9473650806526</c:v>
                </c:pt>
                <c:pt idx="448">
                  <c:v>2621.3337325268794</c:v>
                </c:pt>
                <c:pt idx="449">
                  <c:v>2639.5269894374314</c:v>
                </c:pt>
                <c:pt idx="450">
                  <c:v>2657.5292758948881</c:v>
                </c:pt>
                <c:pt idx="451">
                  <c:v>2675.3426805388153</c:v>
                </c:pt>
                <c:pt idx="452">
                  <c:v>2692.9692421438008</c:v>
                </c:pt>
                <c:pt idx="453">
                  <c:v>2710.4109511359666</c:v>
                </c:pt>
                <c:pt idx="454">
                  <c:v>2727.6697510508325</c:v>
                </c:pt>
                <c:pt idx="455">
                  <c:v>2744.7475399352288</c:v>
                </c:pt>
                <c:pt idx="456">
                  <c:v>2761.6461716958238</c:v>
                </c:pt>
                <c:pt idx="457">
                  <c:v>2778.3674573966905</c:v>
                </c:pt>
                <c:pt idx="458">
                  <c:v>2794.9131665082105</c:v>
                </c:pt>
                <c:pt idx="459">
                  <c:v>2811.2850281094861</c:v>
                </c:pt>
                <c:pt idx="460">
                  <c:v>2827.4847320463305</c:v>
                </c:pt>
                <c:pt idx="461">
                  <c:v>2843.5139300467845</c:v>
                </c:pt>
                <c:pt idx="462">
                  <c:v>2859.3742367960222</c:v>
                </c:pt>
                <c:pt idx="463">
                  <c:v>2875.0672309723996</c:v>
                </c:pt>
                <c:pt idx="464">
                  <c:v>2890.5944562463246</c:v>
                </c:pt>
                <c:pt idx="465">
                  <c:v>2905.9574222435322</c:v>
                </c:pt>
                <c:pt idx="466">
                  <c:v>2921.1576054742732</c:v>
                </c:pt>
                <c:pt idx="467">
                  <c:v>2936.1964502298565</c:v>
                </c:pt>
                <c:pt idx="468">
                  <c:v>2951.0753694479004</c:v>
                </c:pt>
                <c:pt idx="469">
                  <c:v>2965.7957455475948</c:v>
                </c:pt>
                <c:pt idx="470">
                  <c:v>2980.3589312362119</c:v>
                </c:pt>
                <c:pt idx="471">
                  <c:v>2994.7662502880307</c:v>
                </c:pt>
                <c:pt idx="472">
                  <c:v>3009.0189982968063</c:v>
                </c:pt>
                <c:pt idx="473">
                  <c:v>3023.1184434028391</c:v>
                </c:pt>
                <c:pt idx="474">
                  <c:v>3037.0658269956675</c:v>
                </c:pt>
                <c:pt idx="475">
                  <c:v>3050.8623643933479</c:v>
                </c:pt>
                <c:pt idx="476">
                  <c:v>3064.5092454992459</c:v>
                </c:pt>
                <c:pt idx="477">
                  <c:v>3078.0076354372222</c:v>
                </c:pt>
                <c:pt idx="478">
                  <c:v>3091.3586751660482</c:v>
                </c:pt>
                <c:pt idx="479">
                  <c:v>3104.5634820738587</c:v>
                </c:pt>
                <c:pt idx="480">
                  <c:v>3117.6231505534038</c:v>
                </c:pt>
                <c:pt idx="481">
                  <c:v>3130.5387525588335</c:v>
                </c:pt>
                <c:pt idx="482">
                  <c:v>3143.3113381447124</c:v>
                </c:pt>
                <c:pt idx="483">
                  <c:v>3155.9419359879312</c:v>
                </c:pt>
                <c:pt idx="484">
                  <c:v>3168.4315538931578</c:v>
                </c:pt>
                <c:pt idx="485">
                  <c:v>3180.7811792824318</c:v>
                </c:pt>
                <c:pt idx="486">
                  <c:v>3192.9917796694922</c:v>
                </c:pt>
                <c:pt idx="487">
                  <c:v>3205.0643031193918</c:v>
                </c:pt>
                <c:pt idx="488">
                  <c:v>3216.9996786939378</c:v>
                </c:pt>
                <c:pt idx="489">
                  <c:v>3228.7988168834659</c:v>
                </c:pt>
                <c:pt idx="490">
                  <c:v>3240.46261002544</c:v>
                </c:pt>
                <c:pt idx="491">
                  <c:v>3251.9919327103476</c:v>
                </c:pt>
                <c:pt idx="492">
                  <c:v>3263.3876421753375</c:v>
                </c:pt>
                <c:pt idx="493">
                  <c:v>3274.6505786860353</c:v>
                </c:pt>
                <c:pt idx="494">
                  <c:v>3285.7815659069456</c:v>
                </c:pt>
                <c:pt idx="495">
                  <c:v>3296.7814112608394</c:v>
                </c:pt>
                <c:pt idx="496">
                  <c:v>3307.6509062775044</c:v>
                </c:pt>
                <c:pt idx="497">
                  <c:v>3318.3908269322264</c:v>
                </c:pt>
                <c:pt idx="498">
                  <c:v>3329.001933974348</c:v>
                </c:pt>
                <c:pt idx="499">
                  <c:v>3339.4849732462412</c:v>
                </c:pt>
                <c:pt idx="500">
                  <c:v>3349.8406759930162</c:v>
                </c:pt>
                <c:pt idx="501">
                  <c:v>3360.0697591632779</c:v>
                </c:pt>
                <c:pt idx="502">
                  <c:v>3370.1729257012239</c:v>
                </c:pt>
                <c:pt idx="503">
                  <c:v>3380.150864830372</c:v>
                </c:pt>
                <c:pt idx="504">
                  <c:v>3390.0042523291913</c:v>
                </c:pt>
                <c:pt idx="505">
                  <c:v>3399.7337507988991</c:v>
                </c:pt>
                <c:pt idx="506">
                  <c:v>3409.3400099236815</c:v>
                </c:pt>
                <c:pt idx="507">
                  <c:v>3418.8236667235751</c:v>
                </c:pt>
                <c:pt idx="508">
                  <c:v>3428.185345800252</c:v>
                </c:pt>
                <c:pt idx="509">
                  <c:v>3437.4256595759284</c:v>
                </c:pt>
                <c:pt idx="510">
                  <c:v>3446.545208525617</c:v>
                </c:pt>
                <c:pt idx="511">
                  <c:v>3455.5445814029304</c:v>
                </c:pt>
                <c:pt idx="512">
                  <c:v>3464.4243554596401</c:v>
                </c:pt>
                <c:pt idx="513">
                  <c:v>3473.1850966591815</c:v>
                </c:pt>
                <c:pt idx="514">
                  <c:v>3481.8273598842966</c:v>
                </c:pt>
                <c:pt idx="515">
                  <c:v>3490.35168913899</c:v>
                </c:pt>
                <c:pt idx="516">
                  <c:v>3498.7586177449753</c:v>
                </c:pt>
                <c:pt idx="517">
                  <c:v>3507.0486685327783</c:v>
                </c:pt>
                <c:pt idx="518">
                  <c:v>3515.2223540276586</c:v>
                </c:pt>
                <c:pt idx="519">
                  <c:v>3523.2801766305083</c:v>
                </c:pt>
                <c:pt idx="520">
                  <c:v>3531.2226287938724</c:v>
                </c:pt>
                <c:pt idx="521">
                  <c:v>3539.0501931932458</c:v>
                </c:pt>
                <c:pt idx="522">
                  <c:v>3546.7633428937779</c:v>
                </c:pt>
                <c:pt idx="523">
                  <c:v>3554.362541512528</c:v>
                </c:pt>
                <c:pt idx="524">
                  <c:v>3561.8482433763988</c:v>
                </c:pt>
                <c:pt idx="525">
                  <c:v>3569.2208936758784</c:v>
                </c:pt>
                <c:pt idx="526">
                  <c:v>3576.480928614712</c:v>
                </c:pt>
                <c:pt idx="527">
                  <c:v>3583.6287755556227</c:v>
                </c:pt>
                <c:pt idx="528">
                  <c:v>3590.6648531621991</c:v>
                </c:pt>
                <c:pt idx="529">
                  <c:v>3597.5895715370593</c:v>
                </c:pt>
                <c:pt idx="530">
                  <c:v>3604.4033323564036</c:v>
                </c:pt>
                <c:pt idx="531">
                  <c:v>3611.1065290010588</c:v>
                </c:pt>
                <c:pt idx="532">
                  <c:v>3617.6995466841204</c:v>
                </c:pt>
                <c:pt idx="533">
                  <c:v>3624.1827625752908</c:v>
                </c:pt>
                <c:pt idx="534">
                  <c:v>3630.556545922012</c:v>
                </c:pt>
                <c:pt idx="535">
                  <c:v>3636.8212581674893</c:v>
                </c:pt>
                <c:pt idx="536">
                  <c:v>3642.9772530657006</c:v>
                </c:pt>
                <c:pt idx="537">
                  <c:v>3649.0248767934795</c:v>
                </c:pt>
                <c:pt idx="538">
                  <c:v>3654.9644680597667</c:v>
                </c:pt>
                <c:pt idx="539">
                  <c:v>3660.7963582121151</c:v>
                </c:pt>
                <c:pt idx="540">
                  <c:v>3666.5208713405377</c:v>
                </c:pt>
                <c:pt idx="541">
                  <c:v>3672.1383243787832</c:v>
                </c:pt>
                <c:pt idx="542">
                  <c:v>3677.6490272031265</c:v>
                </c:pt>
                <c:pt idx="543">
                  <c:v>3683.0532827287584</c:v>
                </c:pt>
                <c:pt idx="544">
                  <c:v>3688.3513870038605</c:v>
                </c:pt>
                <c:pt idx="545">
                  <c:v>3693.5436293014454</c:v>
                </c:pt>
                <c:pt idx="546">
                  <c:v>3698.6302922090554</c:v>
                </c:pt>
                <c:pt idx="547">
                  <c:v>3703.6116517163987</c:v>
                </c:pt>
                <c:pt idx="548">
                  <c:v>3708.4879773010152</c:v>
                </c:pt>
                <c:pt idx="549">
                  <c:v>3713.2595320120549</c:v>
                </c:pt>
                <c:pt idx="550">
                  <c:v>3717.9265725522664</c:v>
                </c:pt>
                <c:pt idx="551">
                  <c:v>3722.4893493582827</c:v>
                </c:pt>
                <c:pt idx="552">
                  <c:v>3726.9481066793032</c:v>
                </c:pt>
                <c:pt idx="553">
                  <c:v>3731.3030826542708</c:v>
                </c:pt>
                <c:pt idx="554">
                  <c:v>3735.5545093876462</c:v>
                </c:pt>
                <c:pt idx="555">
                  <c:v>3739.7026130238905</c:v>
                </c:pt>
                <c:pt idx="556">
                  <c:v>3743.7476138207703</c:v>
                </c:pt>
                <c:pt idx="557">
                  <c:v>3747.6897262216025</c:v>
                </c:pt>
                <c:pt idx="558">
                  <c:v>3751.5291589265721</c:v>
                </c:pt>
                <c:pt idx="559">
                  <c:v>3755.2661149632563</c:v>
                </c:pt>
                <c:pt idx="560">
                  <c:v>3758.9007917565023</c:v>
                </c:pt>
                <c:pt idx="561">
                  <c:v>3762.433381197819</c:v>
                </c:pt>
                <c:pt idx="562">
                  <c:v>3765.8640697144488</c:v>
                </c:pt>
                <c:pt idx="563">
                  <c:v>3769.1930383383046</c:v>
                </c:pt>
                <c:pt idx="564">
                  <c:v>3772.4204627749741</c:v>
                </c:pt>
                <c:pt idx="565">
                  <c:v>3775.5465134730043</c:v>
                </c:pt>
                <c:pt idx="566">
                  <c:v>3778.5713556937039</c:v>
                </c:pt>
                <c:pt idx="567">
                  <c:v>3781.4951495817204</c:v>
                </c:pt>
                <c:pt idx="568">
                  <c:v>3784.3180502366736</c:v>
                </c:pt>
                <c:pt idx="569">
                  <c:v>3787.0402077861486</c:v>
                </c:pt>
                <c:pt idx="570">
                  <c:v>3789.661767460384</c:v>
                </c:pt>
                <c:pt idx="571">
                  <c:v>3792.1828696690177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02-4CA2-BA56-E0E46E48A268}"/>
            </c:ext>
          </c:extLst>
        </c:ser>
        <c:ser>
          <c:idx val="6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Trajecto!$D$155</c:f>
              <c:numCache>
                <c:formatCode>0</c:formatCode>
                <c:ptCount val="1"/>
                <c:pt idx="0">
                  <c:v>192.68480055005344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1897.3018250401424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02-4CA2-BA56-E0E46E48A268}"/>
            </c:ext>
          </c:extLst>
        </c:ser>
        <c:ser>
          <c:idx val="7"/>
          <c:order val="6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Trajecto!$D$156</c:f>
              <c:numCache>
                <c:formatCode>0</c:formatCode>
                <c:ptCount val="1"/>
                <c:pt idx="0">
                  <c:v>1220.9717765532532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1911.4210273800743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02-4CA2-BA56-E0E46E48A268}"/>
            </c:ext>
          </c:extLst>
        </c:ser>
        <c:ser>
          <c:idx val="8"/>
          <c:order val="7"/>
          <c:tx>
            <c:strRef>
              <c:f>Trajecto!$D$158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8"/>
              <c:tx>
                <c:strRef>
                  <c:f>Trajecto!$D$158</c:f>
                  <c:strCache>
                    <c:ptCount val="1"/>
                    <c:pt idx="0">
                      <c:v>Arc de triomphe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{04B42AAA-6F90-4ACB-8EFA-D75731A38D23}</c15:txfldGUID>
                      <c15:f>Trajecto!$D$158</c15:f>
                      <c15:dlblFieldTableCache>
                        <c:ptCount val="1"/>
                        <c:pt idx="0">
                          <c:v>Arc de triomphe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Trajecto!$D$159:$D$174</c:f>
              <c:numCache>
                <c:formatCode>0</c:formatCode>
                <c:ptCount val="16"/>
                <c:pt idx="0">
                  <c:v>829.39391674421199</c:v>
                </c:pt>
                <c:pt idx="1">
                  <c:v>852.39391674421199</c:v>
                </c:pt>
                <c:pt idx="2">
                  <c:v>852.39391674421199</c:v>
                </c:pt>
                <c:pt idx="3">
                  <c:v>829.39391674421199</c:v>
                </c:pt>
                <c:pt idx="4">
                  <c:v>852.39391674421199</c:v>
                </c:pt>
                <c:pt idx="5">
                  <c:v>852.39391674421199</c:v>
                </c:pt>
                <c:pt idx="6">
                  <c:v>837.39391674421199</c:v>
                </c:pt>
                <c:pt idx="7">
                  <c:v>837.39391674421199</c:v>
                </c:pt>
                <c:pt idx="8">
                  <c:v>852.39391674421199</c:v>
                </c:pt>
                <c:pt idx="9">
                  <c:v>837.39391674421199</c:v>
                </c:pt>
                <c:pt idx="10">
                  <c:v>836.99391674421202</c:v>
                </c:pt>
                <c:pt idx="11">
                  <c:v>836.19391674421195</c:v>
                </c:pt>
                <c:pt idx="12">
                  <c:v>835.39391674421199</c:v>
                </c:pt>
                <c:pt idx="13">
                  <c:v>834.39391674421199</c:v>
                </c:pt>
                <c:pt idx="14">
                  <c:v>833.19391674421195</c:v>
                </c:pt>
                <c:pt idx="15">
                  <c:v>829.39391674421199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02-4CA2-BA56-E0E46E48A268}"/>
            </c:ext>
          </c:extLst>
        </c:ser>
        <c:ser>
          <c:idx val="9"/>
          <c:order val="8"/>
          <c:tx>
            <c:strRef>
              <c:f>Trajecto!$F$158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Trajecto!$F$159:$F$174</c:f>
              <c:numCache>
                <c:formatCode>0</c:formatCode>
                <c:ptCount val="16"/>
                <c:pt idx="0">
                  <c:v>829.39391674421199</c:v>
                </c:pt>
                <c:pt idx="1">
                  <c:v>806.39391674421199</c:v>
                </c:pt>
                <c:pt idx="2">
                  <c:v>806.39391674421199</c:v>
                </c:pt>
                <c:pt idx="3">
                  <c:v>829.39391674421199</c:v>
                </c:pt>
                <c:pt idx="4">
                  <c:v>806.39391674421199</c:v>
                </c:pt>
                <c:pt idx="5">
                  <c:v>806.39391674421199</c:v>
                </c:pt>
                <c:pt idx="6">
                  <c:v>821.39391674421199</c:v>
                </c:pt>
                <c:pt idx="7">
                  <c:v>821.39391674421199</c:v>
                </c:pt>
                <c:pt idx="8">
                  <c:v>806.39391674421199</c:v>
                </c:pt>
                <c:pt idx="9">
                  <c:v>821.39391674421199</c:v>
                </c:pt>
                <c:pt idx="10">
                  <c:v>821.79391674421197</c:v>
                </c:pt>
                <c:pt idx="11">
                  <c:v>822.59391674421204</c:v>
                </c:pt>
                <c:pt idx="12">
                  <c:v>823.39391674421199</c:v>
                </c:pt>
                <c:pt idx="13">
                  <c:v>824.39391674421199</c:v>
                </c:pt>
                <c:pt idx="14">
                  <c:v>825.59391674421204</c:v>
                </c:pt>
                <c:pt idx="15">
                  <c:v>829.39391674421199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02-4CA2-BA56-E0E46E48A268}"/>
            </c:ext>
          </c:extLst>
        </c:ser>
        <c:ser>
          <c:idx val="10"/>
          <c:order val="9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6"/>
              <c:tx>
                <c:strRef>
                  <c:f>Trajecto!$D$176</c:f>
                  <c:strCache>
                    <c:ptCount val="1"/>
                    <c:pt idx="0">
                      <c:v>Tour Eiffel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{60A4661C-9B03-4F8C-9444-49A5D94C0B8A}</c15:txfldGUID>
                      <c15:f>Trajecto!$D$176</c15:f>
                      <c15:dlblFieldTableCache>
                        <c:ptCount val="1"/>
                        <c:pt idx="0">
                          <c:v>Tour Eiffel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Trajecto!$D$177:$D$193</c:f>
              <c:numCache>
                <c:formatCode>0</c:formatCode>
                <c:ptCount val="17"/>
                <c:pt idx="0">
                  <c:v>829.39391674421199</c:v>
                </c:pt>
                <c:pt idx="1">
                  <c:v>829.39391674421199</c:v>
                </c:pt>
                <c:pt idx="2">
                  <c:v>839.39391674421199</c:v>
                </c:pt>
                <c:pt idx="3">
                  <c:v>829.39391674421199</c:v>
                </c:pt>
                <c:pt idx="4">
                  <c:v>839.39391674421199</c:v>
                </c:pt>
                <c:pt idx="5">
                  <c:v>842.39391674421199</c:v>
                </c:pt>
                <c:pt idx="6">
                  <c:v>846.39391674421199</c:v>
                </c:pt>
                <c:pt idx="7">
                  <c:v>849.39391674421199</c:v>
                </c:pt>
                <c:pt idx="8">
                  <c:v>854.39391674421199</c:v>
                </c:pt>
                <c:pt idx="9">
                  <c:v>859.39391674421199</c:v>
                </c:pt>
                <c:pt idx="10">
                  <c:v>865.39391674421199</c:v>
                </c:pt>
                <c:pt idx="11">
                  <c:v>877.39391674421199</c:v>
                </c:pt>
                <c:pt idx="12">
                  <c:v>891.39391674421199</c:v>
                </c:pt>
                <c:pt idx="13">
                  <c:v>866.39391674421199</c:v>
                </c:pt>
                <c:pt idx="14">
                  <c:v>859.39391674421199</c:v>
                </c:pt>
                <c:pt idx="15">
                  <c:v>844.39391674421199</c:v>
                </c:pt>
                <c:pt idx="16">
                  <c:v>829.39391674421199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02-4CA2-BA56-E0E46E48A268}"/>
            </c:ext>
          </c:extLst>
        </c:ser>
        <c:ser>
          <c:idx val="11"/>
          <c:order val="10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Trajecto!$F$177:$F$193</c:f>
              <c:numCache>
                <c:formatCode>0</c:formatCode>
                <c:ptCount val="17"/>
                <c:pt idx="0">
                  <c:v>829.39391674421199</c:v>
                </c:pt>
                <c:pt idx="1">
                  <c:v>829.39391674421199</c:v>
                </c:pt>
                <c:pt idx="2">
                  <c:v>819.39391674421199</c:v>
                </c:pt>
                <c:pt idx="3">
                  <c:v>829.39391674421199</c:v>
                </c:pt>
                <c:pt idx="4">
                  <c:v>819.39391674421199</c:v>
                </c:pt>
                <c:pt idx="5">
                  <c:v>816.39391674421199</c:v>
                </c:pt>
                <c:pt idx="6">
                  <c:v>812.39391674421199</c:v>
                </c:pt>
                <c:pt idx="7">
                  <c:v>809.39391674421199</c:v>
                </c:pt>
                <c:pt idx="8">
                  <c:v>804.39391674421199</c:v>
                </c:pt>
                <c:pt idx="9">
                  <c:v>799.39391674421199</c:v>
                </c:pt>
                <c:pt idx="10">
                  <c:v>793.39391674421199</c:v>
                </c:pt>
                <c:pt idx="11">
                  <c:v>781.39391674421199</c:v>
                </c:pt>
                <c:pt idx="12">
                  <c:v>767.39391674421199</c:v>
                </c:pt>
                <c:pt idx="13">
                  <c:v>792.39391674421199</c:v>
                </c:pt>
                <c:pt idx="14">
                  <c:v>799.39391674421199</c:v>
                </c:pt>
                <c:pt idx="15">
                  <c:v>814.39391674421199</c:v>
                </c:pt>
                <c:pt idx="16">
                  <c:v>829.39391674421199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02-4CA2-BA56-E0E46E48A268}"/>
            </c:ext>
          </c:extLst>
        </c:ser>
        <c:ser>
          <c:idx val="12"/>
          <c:order val="11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Trajecto!$D$194:$D$197</c:f>
              <c:numCache>
                <c:formatCode>0</c:formatCode>
                <c:ptCount val="4"/>
                <c:pt idx="0">
                  <c:v>829.39391674421199</c:v>
                </c:pt>
                <c:pt idx="1">
                  <c:v>846.39391674421199</c:v>
                </c:pt>
                <c:pt idx="2">
                  <c:v>840.39391674421199</c:v>
                </c:pt>
                <c:pt idx="3">
                  <c:v>829.39391674421199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02-4CA2-BA56-E0E46E48A268}"/>
            </c:ext>
          </c:extLst>
        </c:ser>
        <c:ser>
          <c:idx val="13"/>
          <c:order val="12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Trajecto!$F$194:$F$197</c:f>
              <c:numCache>
                <c:formatCode>0</c:formatCode>
                <c:ptCount val="4"/>
                <c:pt idx="0">
                  <c:v>829.39391674421199</c:v>
                </c:pt>
                <c:pt idx="1">
                  <c:v>812.39391674421199</c:v>
                </c:pt>
                <c:pt idx="2">
                  <c:v>818.39391674421199</c:v>
                </c:pt>
                <c:pt idx="3">
                  <c:v>829.39391674421199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02-4CA2-BA56-E0E46E48A268}"/>
            </c:ext>
          </c:extLst>
        </c:ser>
        <c:ser>
          <c:idx val="3"/>
          <c:order val="1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dLbls>
            <c:dLbl>
              <c:idx val="1"/>
              <c:tx>
                <c:strRef>
                  <c:f>Trajecto!$B$108</c:f>
                  <c:strCache>
                    <c:ptCount val="1"/>
                    <c:pt idx="0">
                      <c:v>Fusée sous parachute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{25452012-04CC-4857-B4C2-50E862731F0F}</c15:txfldGUID>
                      <c15:f>Trajecto!$B$108</c15:f>
                      <c15:dlblFieldTableCache>
                        <c:ptCount val="1"/>
                        <c:pt idx="0">
                          <c:v>Fusée sous parachute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Trajecto!$B$123:$B$129</c:f>
              <c:numCache>
                <c:formatCode>0</c:formatCode>
                <c:ptCount val="7"/>
                <c:pt idx="0">
                  <c:v>770.73920220021375</c:v>
                </c:pt>
                <c:pt idx="1">
                  <c:v>770.73920220021375</c:v>
                </c:pt>
                <c:pt idx="2">
                  <c:v>770.73920220021375</c:v>
                </c:pt>
                <c:pt idx="3">
                  <c:v>865.60429345222087</c:v>
                </c:pt>
                <c:pt idx="4">
                  <c:v>770.73920220021375</c:v>
                </c:pt>
                <c:pt idx="5">
                  <c:v>675.87411094820663</c:v>
                </c:pt>
                <c:pt idx="6">
                  <c:v>770.73920220021375</c:v>
                </c:pt>
              </c:numCache>
            </c:numRef>
          </c:xVal>
          <c:yVal>
            <c:numRef>
              <c:f>Trajecto!$C$121:$C$127</c:f>
              <c:numCache>
                <c:formatCode>0</c:formatCode>
                <c:ptCount val="7"/>
                <c:pt idx="0">
                  <c:v>3794.6036500802848</c:v>
                </c:pt>
                <c:pt idx="1">
                  <c:v>1897.3018250401424</c:v>
                </c:pt>
                <c:pt idx="2">
                  <c:v>0</c:v>
                </c:pt>
                <c:pt idx="3">
                  <c:v>189.73018250401424</c:v>
                </c:pt>
                <c:pt idx="4">
                  <c:v>0</c:v>
                </c:pt>
                <c:pt idx="5">
                  <c:v>189.73018250401424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02-4CA2-BA56-E0E46E48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1024"/>
        <c:axId val="149054208"/>
      </c:scatterChart>
      <c:valAx>
        <c:axId val="148241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Trajecto!$B$111</c:f>
              <c:strCache>
                <c:ptCount val="1"/>
                <c:pt idx="0">
                  <c:v>Portée x [m]</c:v>
                </c:pt>
              </c:strCache>
            </c:strRef>
          </c:tx>
          <c:layout>
            <c:manualLayout>
              <c:xMode val="edge"/>
              <c:yMode val="edge"/>
              <c:x val="0.56464627732344286"/>
              <c:y val="0.84829693458129063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054208"/>
        <c:crosses val="autoZero"/>
        <c:crossBetween val="midCat"/>
      </c:valAx>
      <c:valAx>
        <c:axId val="149054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8.1818320007296413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241024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paperSize="9" firstPageNumber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Trajecto!$B$113</c:f>
          <c:strCache>
            <c:ptCount val="1"/>
            <c:pt idx="0">
              <c:v>Altitude z  /  Temps</c:v>
            </c:pt>
          </c:strCache>
        </c:strRef>
      </c:tx>
      <c:layout>
        <c:manualLayout>
          <c:xMode val="edge"/>
          <c:yMode val="edge"/>
          <c:x val="0.57666688909649"/>
          <c:y val="3.71518182868650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746430001334583E-2"/>
          <c:y val="4.8186995493487844E-2"/>
          <c:w val="0.89333624132890843"/>
          <c:h val="0.89614373166225958"/>
        </c:manualLayout>
      </c:layout>
      <c:scatterChart>
        <c:scatterStyle val="lineMarker"/>
        <c:varyColors val="0"/>
        <c:ser>
          <c:idx val="4"/>
          <c:order val="0"/>
          <c:tx>
            <c:v>Point invisible pour mise à l'echelle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Trajecto!$B$120</c:f>
              <c:numCache>
                <c:formatCode>0</c:formatCode>
                <c:ptCount val="1"/>
                <c:pt idx="0">
                  <c:v>3822.8420547601486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1-4567-B7A1-067915120221}"/>
            </c:ext>
          </c:extLst>
        </c:ser>
        <c:ser>
          <c:idx val="0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Calculs!$AC$4:$AC$1004</c:f>
              <c:numCache>
                <c:formatCode>0</c:formatCode>
                <c:ptCount val="1001"/>
                <c:pt idx="0">
                  <c:v>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4.9999999999999787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5.9999999999999574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6.9999999999999361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7.9999999999999147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8.9999999999999112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9.9999999999999076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10.999999999999904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11.999999999999901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12.999999999999897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13.999999999999893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14.99999999999989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15.999999999999886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16.999999999999901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17.999999999999915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18.999999999999929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19.999999999999943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20.999999999999957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21.999999999999972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22.999999999999986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24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25.000000000000014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26.000000000000028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27.000000000000043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28.000000000000057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29.000000000000071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30.000000000000085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31.000000000000099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32.000000000000114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33.000000000000128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34.000000000000142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35.000000000000156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36.000000000000171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37.000000000000185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38.000000000000199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39.000000000000213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40.000000000000227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41.000000000000242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42.000000000000256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43.00000000000027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44.000000000000284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45.000000000000298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46.000000000000313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47.000000000000327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48.000000000000341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49.000000000000355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50.000000000000369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51.000000000000384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52.000000000000398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53.000000000000412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54.000000000000426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55.000000000000441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56.000000000000455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57.000000000000469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58.000000000000483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59.000000000000497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60.000000000000512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358.22</c:v>
                </c:pt>
                <c:pt idx="1">
                  <c:v>359.48699323120798</c:v>
                </c:pt>
                <c:pt idx="2">
                  <c:v>360.75517890128333</c:v>
                </c:pt>
                <c:pt idx="3">
                  <c:v>362.02720502605382</c:v>
                </c:pt>
                <c:pt idx="4">
                  <c:v>363.30571997979428</c:v>
                </c:pt>
                <c:pt idx="5">
                  <c:v>364.59337354548046</c:v>
                </c:pt>
                <c:pt idx="6">
                  <c:v>365.89214634546295</c:v>
                </c:pt>
                <c:pt idx="7">
                  <c:v>367.20267761929568</c:v>
                </c:pt>
                <c:pt idx="8">
                  <c:v>368.5249352923118</c:v>
                </c:pt>
                <c:pt idx="9">
                  <c:v>369.8588871748924</c:v>
                </c:pt>
                <c:pt idx="10">
                  <c:v>371.20450096316586</c:v>
                </c:pt>
                <c:pt idx="11">
                  <c:v>372.56174423971169</c:v>
                </c:pt>
                <c:pt idx="12">
                  <c:v>373.9305844742687</c:v>
                </c:pt>
                <c:pt idx="13">
                  <c:v>375.31098902444791</c:v>
                </c:pt>
                <c:pt idx="14">
                  <c:v>376.70292513644944</c:v>
                </c:pt>
                <c:pt idx="15">
                  <c:v>378.10635994578399</c:v>
                </c:pt>
                <c:pt idx="16">
                  <c:v>379.52126047799817</c:v>
                </c:pt>
                <c:pt idx="17">
                  <c:v>380.94759364940404</c:v>
                </c:pt>
                <c:pt idx="18">
                  <c:v>382.38532626781262</c:v>
                </c:pt>
                <c:pt idx="19">
                  <c:v>383.8344250332712</c:v>
                </c:pt>
                <c:pt idx="20">
                  <c:v>385.29485653880454</c:v>
                </c:pt>
                <c:pt idx="21">
                  <c:v>386.76658727115984</c:v>
                </c:pt>
                <c:pt idx="22">
                  <c:v>388.24958361155512</c:v>
                </c:pt>
                <c:pt idx="23">
                  <c:v>389.74381183643141</c:v>
                </c:pt>
                <c:pt idx="24">
                  <c:v>391.24923811820821</c:v>
                </c:pt>
                <c:pt idx="25">
                  <c:v>392.76582852604253</c:v>
                </c:pt>
                <c:pt idx="26">
                  <c:v>394.29354902659088</c:v>
                </c:pt>
                <c:pt idx="27">
                  <c:v>395.83236548477504</c:v>
                </c:pt>
                <c:pt idx="28">
                  <c:v>397.38224366455046</c:v>
                </c:pt>
                <c:pt idx="29">
                  <c:v>398.94314922967789</c:v>
                </c:pt>
                <c:pt idx="30">
                  <c:v>400.51504774449819</c:v>
                </c:pt>
                <c:pt idx="31">
                  <c:v>402.09790467470981</c:v>
                </c:pt>
                <c:pt idx="32">
                  <c:v>403.6916853881491</c:v>
                </c:pt>
                <c:pt idx="33">
                  <c:v>405.29635515557356</c:v>
                </c:pt>
                <c:pt idx="34">
                  <c:v>406.91187915144764</c:v>
                </c:pt>
                <c:pt idx="35">
                  <c:v>408.53822245473111</c:v>
                </c:pt>
                <c:pt idx="36">
                  <c:v>410.17535004966999</c:v>
                </c:pt>
                <c:pt idx="37">
                  <c:v>411.82322682658997</c:v>
                </c:pt>
                <c:pt idx="38">
                  <c:v>413.48181758269214</c:v>
                </c:pt>
                <c:pt idx="39">
                  <c:v>415.15108702285113</c:v>
                </c:pt>
                <c:pt idx="40">
                  <c:v>416.83099976041524</c:v>
                </c:pt>
                <c:pt idx="41">
                  <c:v>418.52152031800892</c:v>
                </c:pt>
                <c:pt idx="42">
                  <c:v>420.22261312833734</c:v>
                </c:pt>
                <c:pt idx="43">
                  <c:v>421.93424253499279</c:v>
                </c:pt>
                <c:pt idx="44">
                  <c:v>423.65637279326319</c:v>
                </c:pt>
                <c:pt idx="45">
                  <c:v>425.38896807094227</c:v>
                </c:pt>
                <c:pt idx="46">
                  <c:v>427.13199244914176</c:v>
                </c:pt>
                <c:pt idx="47">
                  <c:v>428.8854099231051</c:v>
                </c:pt>
                <c:pt idx="48">
                  <c:v>430.6491844030229</c:v>
                </c:pt>
                <c:pt idx="49">
                  <c:v>432.42327971484985</c:v>
                </c:pt>
                <c:pt idx="50">
                  <c:v>434.20765960112328</c:v>
                </c:pt>
                <c:pt idx="51">
                  <c:v>436.00229128152</c:v>
                </c:pt>
                <c:pt idx="52">
                  <c:v>437.80714901800877</c:v>
                </c:pt>
                <c:pt idx="53">
                  <c:v>439.62221056069609</c:v>
                </c:pt>
                <c:pt idx="54">
                  <c:v>441.44745358889804</c:v>
                </c:pt>
                <c:pt idx="55">
                  <c:v>443.28285571160336</c:v>
                </c:pt>
                <c:pt idx="56">
                  <c:v>445.12839446793811</c:v>
                </c:pt>
                <c:pt idx="57">
                  <c:v>446.98404732763231</c:v>
                </c:pt>
                <c:pt idx="58">
                  <c:v>448.84979169148824</c:v>
                </c:pt>
                <c:pt idx="59">
                  <c:v>450.72560489185025</c:v>
                </c:pt>
                <c:pt idx="60">
                  <c:v>452.61146419307659</c:v>
                </c:pt>
                <c:pt idx="61">
                  <c:v>454.50734679201236</c:v>
                </c:pt>
                <c:pt idx="62">
                  <c:v>456.41322981846452</c:v>
                </c:pt>
                <c:pt idx="63">
                  <c:v>458.32909033567802</c:v>
                </c:pt>
                <c:pt idx="64">
                  <c:v>460.25490534081393</c:v>
                </c:pt>
                <c:pt idx="65">
                  <c:v>462.19065176542841</c:v>
                </c:pt>
                <c:pt idx="66">
                  <c:v>464.13630647595375</c:v>
                </c:pt>
                <c:pt idx="67">
                  <c:v>466.09184627418034</c:v>
                </c:pt>
                <c:pt idx="68">
                  <c:v>468.0572478977403</c:v>
                </c:pt>
                <c:pt idx="69">
                  <c:v>470.03248802059233</c:v>
                </c:pt>
                <c:pt idx="70">
                  <c:v>472.01754325350782</c:v>
                </c:pt>
                <c:pt idx="71">
                  <c:v>474.01239014455831</c:v>
                </c:pt>
                <c:pt idx="72">
                  <c:v>476.01700517960404</c:v>
                </c:pt>
                <c:pt idx="73">
                  <c:v>478.03136478278401</c:v>
                </c:pt>
                <c:pt idx="74">
                  <c:v>480.05544531700679</c:v>
                </c:pt>
                <c:pt idx="75">
                  <c:v>482.08922308444272</c:v>
                </c:pt>
                <c:pt idx="76">
                  <c:v>484.13267432701713</c:v>
                </c:pt>
                <c:pt idx="77">
                  <c:v>486.18577522690464</c:v>
                </c:pt>
                <c:pt idx="78">
                  <c:v>488.24850190702443</c:v>
                </c:pt>
                <c:pt idx="79">
                  <c:v>490.32083043153659</c:v>
                </c:pt>
                <c:pt idx="80">
                  <c:v>492.40273680633931</c:v>
                </c:pt>
                <c:pt idx="81">
                  <c:v>494.49419697956705</c:v>
                </c:pt>
                <c:pt idx="82">
                  <c:v>496.59518684208967</c:v>
                </c:pt>
                <c:pt idx="83">
                  <c:v>498.70568222801234</c:v>
                </c:pt>
                <c:pt idx="84">
                  <c:v>500.82565891517618</c:v>
                </c:pt>
                <c:pt idx="85">
                  <c:v>502.95509262565986</c:v>
                </c:pt>
                <c:pt idx="86">
                  <c:v>505.09395902628182</c:v>
                </c:pt>
                <c:pt idx="87">
                  <c:v>507.24223372910342</c:v>
                </c:pt>
                <c:pt idx="88">
                  <c:v>509.39989229193242</c:v>
                </c:pt>
                <c:pt idx="89">
                  <c:v>511.56691021882739</c:v>
                </c:pt>
                <c:pt idx="90">
                  <c:v>513.74326296060281</c:v>
                </c:pt>
                <c:pt idx="91">
                  <c:v>515.92892591533439</c:v>
                </c:pt>
                <c:pt idx="92">
                  <c:v>518.12387442886529</c:v>
                </c:pt>
                <c:pt idx="93">
                  <c:v>520.32808379531275</c:v>
                </c:pt>
                <c:pt idx="94">
                  <c:v>522.54152925757523</c:v>
                </c:pt>
                <c:pt idx="95">
                  <c:v>524.76418600783995</c:v>
                </c:pt>
                <c:pt idx="96">
                  <c:v>526.9960291880908</c:v>
                </c:pt>
                <c:pt idx="97">
                  <c:v>529.23703389061689</c:v>
                </c:pt>
                <c:pt idx="98">
                  <c:v>531.48717515852127</c:v>
                </c:pt>
                <c:pt idx="99">
                  <c:v>533.74642798622995</c:v>
                </c:pt>
                <c:pt idx="100">
                  <c:v>536.01476732000128</c:v>
                </c:pt>
                <c:pt idx="101">
                  <c:v>538.29216640444599</c:v>
                </c:pt>
                <c:pt idx="102">
                  <c:v>540.57859512767118</c:v>
                </c:pt>
                <c:pt idx="103">
                  <c:v>542.87402167499397</c:v>
                </c:pt>
                <c:pt idx="104">
                  <c:v>545.17841418410751</c:v>
                </c:pt>
                <c:pt idx="105">
                  <c:v>547.49174074574341</c:v>
                </c:pt>
                <c:pt idx="106">
                  <c:v>549.8139694043341</c:v>
                </c:pt>
                <c:pt idx="107">
                  <c:v>552.14506815867389</c:v>
                </c:pt>
                <c:pt idx="108">
                  <c:v>554.48500496258009</c:v>
                </c:pt>
                <c:pt idx="109">
                  <c:v>556.83374772555351</c:v>
                </c:pt>
                <c:pt idx="110">
                  <c:v>559.19126431343773</c:v>
                </c:pt>
                <c:pt idx="111">
                  <c:v>561.55752254907839</c:v>
                </c:pt>
                <c:pt idx="112">
                  <c:v>563.93249021298118</c:v>
                </c:pt>
                <c:pt idx="113">
                  <c:v>566.31613504396944</c:v>
                </c:pt>
                <c:pt idx="114">
                  <c:v>568.70842473984055</c:v>
                </c:pt>
                <c:pt idx="115">
                  <c:v>571.10932695802205</c:v>
                </c:pt>
                <c:pt idx="116">
                  <c:v>573.51880931622622</c:v>
                </c:pt>
                <c:pt idx="117">
                  <c:v>575.93683939310404</c:v>
                </c:pt>
                <c:pt idx="118">
                  <c:v>578.36338472889838</c:v>
                </c:pt>
                <c:pt idx="119">
                  <c:v>580.79841282609561</c:v>
                </c:pt>
                <c:pt idx="120">
                  <c:v>583.24189115007687</c:v>
                </c:pt>
                <c:pt idx="121">
                  <c:v>585.69378712976766</c:v>
                </c:pt>
                <c:pt idx="122">
                  <c:v>588.15406815828646</c:v>
                </c:pt>
                <c:pt idx="123">
                  <c:v>590.62270159359264</c:v>
                </c:pt>
                <c:pt idx="124">
                  <c:v>593.09965475913236</c:v>
                </c:pt>
                <c:pt idx="125">
                  <c:v>595.58489494448384</c:v>
                </c:pt>
                <c:pt idx="126">
                  <c:v>598.07838940600118</c:v>
                </c:pt>
                <c:pt idx="127">
                  <c:v>600.58010536745701</c:v>
                </c:pt>
                <c:pt idx="128">
                  <c:v>603.09001002068351</c:v>
                </c:pt>
                <c:pt idx="129">
                  <c:v>605.60807052621226</c:v>
                </c:pt>
                <c:pt idx="130">
                  <c:v>608.13425401391248</c:v>
                </c:pt>
                <c:pt idx="131">
                  <c:v>610.66852758362825</c:v>
                </c:pt>
                <c:pt idx="132">
                  <c:v>613.21085830581387</c:v>
                </c:pt>
                <c:pt idx="133">
                  <c:v>615.76121322216761</c:v>
                </c:pt>
                <c:pt idx="134">
                  <c:v>618.31955934626444</c:v>
                </c:pt>
                <c:pt idx="135">
                  <c:v>620.88586366418645</c:v>
                </c:pt>
                <c:pt idx="136">
                  <c:v>623.46009313515242</c:v>
                </c:pt>
                <c:pt idx="137">
                  <c:v>626.04221469214508</c:v>
                </c:pt>
                <c:pt idx="138">
                  <c:v>628.63219524253725</c:v>
                </c:pt>
                <c:pt idx="139">
                  <c:v>631.23000166871566</c:v>
                </c:pt>
                <c:pt idx="140">
                  <c:v>633.83560082870372</c:v>
                </c:pt>
                <c:pt idx="141">
                  <c:v>636.4489595567818</c:v>
                </c:pt>
                <c:pt idx="142">
                  <c:v>639.07004466410649</c:v>
                </c:pt>
                <c:pt idx="143">
                  <c:v>641.69882293932721</c:v>
                </c:pt>
                <c:pt idx="144">
                  <c:v>644.33526114920153</c:v>
                </c:pt>
                <c:pt idx="145">
                  <c:v>646.97932603920833</c:v>
                </c:pt>
                <c:pt idx="146">
                  <c:v>649.63098433415917</c:v>
                </c:pt>
                <c:pt idx="147">
                  <c:v>652.29020273880758</c:v>
                </c:pt>
                <c:pt idx="148">
                  <c:v>654.95694793845644</c:v>
                </c:pt>
                <c:pt idx="149">
                  <c:v>657.63118659956353</c:v>
                </c:pt>
                <c:pt idx="150">
                  <c:v>660.31288537034447</c:v>
                </c:pt>
                <c:pt idx="151">
                  <c:v>663.00201144821119</c:v>
                </c:pt>
                <c:pt idx="152">
                  <c:v>665.69853314739169</c:v>
                </c:pt>
                <c:pt idx="153">
                  <c:v>668.4024193324384</c:v>
                </c:pt>
                <c:pt idx="154">
                  <c:v>671.11363885152809</c:v>
                </c:pt>
                <c:pt idx="155">
                  <c:v>673.83216053700721</c:v>
                </c:pt>
                <c:pt idx="156">
                  <c:v>676.55795320593597</c:v>
                </c:pt>
                <c:pt idx="157">
                  <c:v>679.29098566062976</c:v>
                </c:pt>
                <c:pt idx="158">
                  <c:v>682.03122668919934</c:v>
                </c:pt>
                <c:pt idx="159">
                  <c:v>684.77864506608853</c:v>
                </c:pt>
                <c:pt idx="160">
                  <c:v>687.53320955261029</c:v>
                </c:pt>
                <c:pt idx="161">
                  <c:v>690.29488889748052</c:v>
                </c:pt>
                <c:pt idx="162">
                  <c:v>693.06365183735011</c:v>
                </c:pt>
                <c:pt idx="163">
                  <c:v>695.83946709733482</c:v>
                </c:pt>
                <c:pt idx="164">
                  <c:v>698.62230339154303</c:v>
                </c:pt>
                <c:pt idx="165">
                  <c:v>701.41212942360141</c:v>
                </c:pt>
                <c:pt idx="166">
                  <c:v>704.20891388717848</c:v>
                </c:pt>
                <c:pt idx="167">
                  <c:v>707.01262546650628</c:v>
                </c:pt>
                <c:pt idx="168">
                  <c:v>709.82323283689971</c:v>
                </c:pt>
                <c:pt idx="169">
                  <c:v>712.64070466527335</c:v>
                </c:pt>
                <c:pt idx="170">
                  <c:v>715.46500961065692</c:v>
                </c:pt>
                <c:pt idx="171">
                  <c:v>718.29611632470767</c:v>
                </c:pt>
                <c:pt idx="172">
                  <c:v>721.13399345222103</c:v>
                </c:pt>
                <c:pt idx="173">
                  <c:v>723.97860963163907</c:v>
                </c:pt>
                <c:pt idx="174">
                  <c:v>726.82993349555636</c:v>
                </c:pt>
                <c:pt idx="175">
                  <c:v>729.68793367122373</c:v>
                </c:pt>
                <c:pt idx="176">
                  <c:v>732.55257878104987</c:v>
                </c:pt>
                <c:pt idx="177">
                  <c:v>735.4238374431003</c:v>
                </c:pt>
                <c:pt idx="178">
                  <c:v>738.30167827159426</c:v>
                </c:pt>
                <c:pt idx="179">
                  <c:v>741.18606987739929</c:v>
                </c:pt>
                <c:pt idx="180">
                  <c:v>744.07698086852326</c:v>
                </c:pt>
                <c:pt idx="181">
                  <c:v>746.9743798506039</c:v>
                </c:pt>
                <c:pt idx="182">
                  <c:v>749.87823542739625</c:v>
                </c:pt>
                <c:pt idx="183">
                  <c:v>752.78851620125783</c:v>
                </c:pt>
                <c:pt idx="184">
                  <c:v>755.70519077363053</c:v>
                </c:pt>
                <c:pt idx="185">
                  <c:v>758.62822774552126</c:v>
                </c:pt>
                <c:pt idx="186">
                  <c:v>761.55759571797921</c:v>
                </c:pt>
                <c:pt idx="187">
                  <c:v>764.49326329257087</c:v>
                </c:pt>
                <c:pt idx="188">
                  <c:v>767.43519907185282</c:v>
                </c:pt>
                <c:pt idx="189">
                  <c:v>770.38337165984194</c:v>
                </c:pt>
                <c:pt idx="190">
                  <c:v>773.33774966248268</c:v>
                </c:pt>
                <c:pt idx="191">
                  <c:v>776.29830168811247</c:v>
                </c:pt>
                <c:pt idx="192">
                  <c:v>779.26499634792401</c:v>
                </c:pt>
                <c:pt idx="193">
                  <c:v>782.23780225642543</c:v>
                </c:pt>
                <c:pt idx="194">
                  <c:v>785.21668803189777</c:v>
                </c:pt>
                <c:pt idx="195">
                  <c:v>788.20162229684945</c:v>
                </c:pt>
                <c:pt idx="196">
                  <c:v>791.19257367846899</c:v>
                </c:pt>
                <c:pt idx="197">
                  <c:v>794.18951080907448</c:v>
                </c:pt>
                <c:pt idx="198">
                  <c:v>797.19240232656045</c:v>
                </c:pt>
                <c:pt idx="199">
                  <c:v>800.20121687484243</c:v>
                </c:pt>
                <c:pt idx="200">
                  <c:v>803.21592310429901</c:v>
                </c:pt>
                <c:pt idx="201">
                  <c:v>806.2364896722105</c:v>
                </c:pt>
                <c:pt idx="202">
                  <c:v>809.2628852431958</c:v>
                </c:pt>
                <c:pt idx="203">
                  <c:v>812.29507848964613</c:v>
                </c:pt>
                <c:pt idx="204">
                  <c:v>815.33303809215613</c:v>
                </c:pt>
                <c:pt idx="205">
                  <c:v>818.37673273995244</c:v>
                </c:pt>
                <c:pt idx="206">
                  <c:v>821.42613113131938</c:v>
                </c:pt>
                <c:pt idx="207">
                  <c:v>824.48120197402227</c:v>
                </c:pt>
                <c:pt idx="208">
                  <c:v>827.54191398572743</c:v>
                </c:pt>
                <c:pt idx="209">
                  <c:v>830.60823589442043</c:v>
                </c:pt>
                <c:pt idx="210">
                  <c:v>833.68013643882045</c:v>
                </c:pt>
                <c:pt idx="211">
                  <c:v>836.75758436879289</c:v>
                </c:pt>
                <c:pt idx="212">
                  <c:v>839.84054844575871</c:v>
                </c:pt>
                <c:pt idx="213">
                  <c:v>842.92899744310125</c:v>
                </c:pt>
                <c:pt idx="214">
                  <c:v>846.02290014657012</c:v>
                </c:pt>
                <c:pt idx="215">
                  <c:v>849.12222535468266</c:v>
                </c:pt>
                <c:pt idx="216">
                  <c:v>852.22694187912214</c:v>
                </c:pt>
                <c:pt idx="217">
                  <c:v>855.33701854513367</c:v>
                </c:pt>
                <c:pt idx="218">
                  <c:v>858.45242419191709</c:v>
                </c:pt>
                <c:pt idx="219">
                  <c:v>861.57312767301687</c:v>
                </c:pt>
                <c:pt idx="220">
                  <c:v>864.69909785671007</c:v>
                </c:pt>
                <c:pt idx="221">
                  <c:v>867.83030362639033</c:v>
                </c:pt>
                <c:pt idx="222">
                  <c:v>870.9667138809499</c:v>
                </c:pt>
                <c:pt idx="223">
                  <c:v>874.10829753515861</c:v>
                </c:pt>
                <c:pt idx="224">
                  <c:v>877.25502352004025</c:v>
                </c:pt>
                <c:pt idx="225">
                  <c:v>880.40686078324552</c:v>
                </c:pt>
                <c:pt idx="226">
                  <c:v>883.563778289423</c:v>
                </c:pt>
                <c:pt idx="227">
                  <c:v>886.72574502058671</c:v>
                </c:pt>
                <c:pt idx="228">
                  <c:v>889.89272997648106</c:v>
                </c:pt>
                <c:pt idx="229">
                  <c:v>893.06470217494302</c:v>
                </c:pt>
                <c:pt idx="230">
                  <c:v>896.24163065226151</c:v>
                </c:pt>
                <c:pt idx="231">
                  <c:v>899.42348446353355</c:v>
                </c:pt>
                <c:pt idx="232">
                  <c:v>902.61023268301847</c:v>
                </c:pt>
                <c:pt idx="233">
                  <c:v>905.80184440448807</c:v>
                </c:pt>
                <c:pt idx="234">
                  <c:v>908.99828874157515</c:v>
                </c:pt>
                <c:pt idx="235">
                  <c:v>912.19953482811832</c:v>
                </c:pt>
                <c:pt idx="236">
                  <c:v>915.40555181850459</c:v>
                </c:pt>
                <c:pt idx="237">
                  <c:v>918.6163088880088</c:v>
                </c:pt>
                <c:pt idx="238">
                  <c:v>921.83177523313009</c:v>
                </c:pt>
                <c:pt idx="239">
                  <c:v>925.05192007192591</c:v>
                </c:pt>
                <c:pt idx="240">
                  <c:v>928.27671264434309</c:v>
                </c:pt>
                <c:pt idx="241">
                  <c:v>931.50612221254573</c:v>
                </c:pt>
                <c:pt idx="242">
                  <c:v>934.74011806124088</c:v>
                </c:pt>
                <c:pt idx="243">
                  <c:v>937.97866949800061</c:v>
                </c:pt>
                <c:pt idx="244">
                  <c:v>941.22174585358221</c:v>
                </c:pt>
                <c:pt idx="245">
                  <c:v>944.46931648224438</c:v>
                </c:pt>
                <c:pt idx="246">
                  <c:v>947.72135076206166</c:v>
                </c:pt>
                <c:pt idx="247">
                  <c:v>950.97781809523565</c:v>
                </c:pt>
                <c:pt idx="248">
                  <c:v>954.23868790840299</c:v>
                </c:pt>
                <c:pt idx="249">
                  <c:v>957.50392965294111</c:v>
                </c:pt>
                <c:pt idx="250">
                  <c:v>960.7735128052708</c:v>
                </c:pt>
                <c:pt idx="251">
                  <c:v>964.04740439173315</c:v>
                </c:pt>
                <c:pt idx="252">
                  <c:v>967.32556651479206</c:v>
                </c:pt>
                <c:pt idx="253">
                  <c:v>970.60795883360367</c:v>
                </c:pt>
                <c:pt idx="254">
                  <c:v>973.89454104332742</c:v>
                </c:pt>
                <c:pt idx="255">
                  <c:v>977.18527287556026</c:v>
                </c:pt>
                <c:pt idx="256">
                  <c:v>980.48011409876642</c:v>
                </c:pt>
                <c:pt idx="257">
                  <c:v>983.77902451870193</c:v>
                </c:pt>
                <c:pt idx="258">
                  <c:v>987.08196397883557</c:v>
                </c:pt>
                <c:pt idx="259">
                  <c:v>990.38889236076398</c:v>
                </c:pt>
                <c:pt idx="260">
                  <c:v>993.69976958462325</c:v>
                </c:pt>
                <c:pt idx="261">
                  <c:v>997.01455560949512</c:v>
                </c:pt>
                <c:pt idx="262">
                  <c:v>1000.3332104338092</c:v>
                </c:pt>
                <c:pt idx="263">
                  <c:v>1003.65569409574</c:v>
                </c:pt>
                <c:pt idx="264">
                  <c:v>1006.9819666735999</c:v>
                </c:pt>
                <c:pt idx="265">
                  <c:v>1010.3119882862272</c:v>
                </c:pt>
                <c:pt idx="266">
                  <c:v>1013.64571909337</c:v>
                </c:pt>
                <c:pt idx="267">
                  <c:v>1016.9831192960646</c:v>
                </c:pt>
                <c:pt idx="268">
                  <c:v>1020.3241491370112</c:v>
                </c:pt>
                <c:pt idx="269">
                  <c:v>1023.6687689009427</c:v>
                </c:pt>
                <c:pt idx="270">
                  <c:v>1027.0169389149908</c:v>
                </c:pt>
                <c:pt idx="271">
                  <c:v>1030.368619549047</c:v>
                </c:pt>
                <c:pt idx="272">
                  <c:v>1033.7237712161188</c:v>
                </c:pt>
                <c:pt idx="273">
                  <c:v>1037.0823543726817</c:v>
                </c:pt>
                <c:pt idx="274">
                  <c:v>1040.444329519027</c:v>
                </c:pt>
                <c:pt idx="275">
                  <c:v>1043.8096571996043</c:v>
                </c:pt>
                <c:pt idx="276">
                  <c:v>1047.1782980033609</c:v>
                </c:pt>
                <c:pt idx="277">
                  <c:v>1050.5502125640749</c:v>
                </c:pt>
                <c:pt idx="278">
                  <c:v>1053.9253615606854</c:v>
                </c:pt>
                <c:pt idx="279">
                  <c:v>1057.3037057176182</c:v>
                </c:pt>
                <c:pt idx="280">
                  <c:v>1060.6852058051059</c:v>
                </c:pt>
                <c:pt idx="281">
                  <c:v>1064.0698226395048</c:v>
                </c:pt>
                <c:pt idx="282">
                  <c:v>1067.4575170836067</c:v>
                </c:pt>
                <c:pt idx="283">
                  <c:v>1070.8482500469474</c:v>
                </c:pt>
                <c:pt idx="284">
                  <c:v>1074.2419824861092</c:v>
                </c:pt>
                <c:pt idx="285">
                  <c:v>1077.6386754050204</c:v>
                </c:pt>
                <c:pt idx="286">
                  <c:v>1081.0382898552498</c:v>
                </c:pt>
                <c:pt idx="287">
                  <c:v>1084.4407869362974</c:v>
                </c:pt>
                <c:pt idx="288">
                  <c:v>1087.8461277958804</c:v>
                </c:pt>
                <c:pt idx="289">
                  <c:v>1091.254273630215</c:v>
                </c:pt>
                <c:pt idx="290">
                  <c:v>1094.6651856842939</c:v>
                </c:pt>
                <c:pt idx="291">
                  <c:v>1098.0788252521597</c:v>
                </c:pt>
                <c:pt idx="292">
                  <c:v>1101.4951536771746</c:v>
                </c:pt>
                <c:pt idx="293">
                  <c:v>1104.9141323522845</c:v>
                </c:pt>
                <c:pt idx="294">
                  <c:v>1108.3357227202798</c:v>
                </c:pt>
                <c:pt idx="295">
                  <c:v>1111.7598862740524</c:v>
                </c:pt>
                <c:pt idx="296">
                  <c:v>1115.1865845568475</c:v>
                </c:pt>
                <c:pt idx="297">
                  <c:v>1118.6157791625126</c:v>
                </c:pt>
                <c:pt idx="298">
                  <c:v>1122.0474044417065</c:v>
                </c:pt>
                <c:pt idx="299">
                  <c:v>1125.4813402352108</c:v>
                </c:pt>
                <c:pt idx="300">
                  <c:v>1128.9174392426266</c:v>
                </c:pt>
                <c:pt idx="301">
                  <c:v>1132.3555543654779</c:v>
                </c:pt>
                <c:pt idx="302">
                  <c:v>1135.7955387104471</c:v>
                </c:pt>
                <c:pt idx="303">
                  <c:v>1139.237245592554</c:v>
                </c:pt>
                <c:pt idx="304">
                  <c:v>1142.6805285382816</c:v>
                </c:pt>
                <c:pt idx="305">
                  <c:v>1146.1252412886458</c:v>
                </c:pt>
                <c:pt idx="306">
                  <c:v>1149.5712378022113</c:v>
                </c:pt>
                <c:pt idx="307">
                  <c:v>1153.0183722580523</c:v>
                </c:pt>
                <c:pt idx="308">
                  <c:v>1156.4664990586598</c:v>
                </c:pt>
                <c:pt idx="309">
                  <c:v>1159.9154728327935</c:v>
                </c:pt>
                <c:pt idx="310">
                  <c:v>1163.3651484382806</c:v>
                </c:pt>
                <c:pt idx="311">
                  <c:v>1166.8153809647604</c:v>
                </c:pt>
                <c:pt idx="312">
                  <c:v>1170.2660257363748</c:v>
                </c:pt>
                <c:pt idx="313">
                  <c:v>1173.716938314406</c:v>
                </c:pt>
                <c:pt idx="314">
                  <c:v>1177.1679744998605</c:v>
                </c:pt>
                <c:pt idx="315">
                  <c:v>1180.6189903359998</c:v>
                </c:pt>
                <c:pt idx="316">
                  <c:v>1184.0698421108184</c:v>
                </c:pt>
                <c:pt idx="317">
                  <c:v>1187.5203863594695</c:v>
                </c:pt>
                <c:pt idx="318">
                  <c:v>1190.9704798666369</c:v>
                </c:pt>
                <c:pt idx="319">
                  <c:v>1194.4199796688565</c:v>
                </c:pt>
                <c:pt idx="320">
                  <c:v>1197.8687430567843</c:v>
                </c:pt>
                <c:pt idx="321">
                  <c:v>1201.3166384471067</c:v>
                </c:pt>
                <c:pt idx="322">
                  <c:v>1204.7635562360797</c:v>
                </c:pt>
                <c:pt idx="323">
                  <c:v>1208.2093978909531</c:v>
                </c:pt>
                <c:pt idx="324">
                  <c:v>1211.6540650590343</c:v>
                </c:pt>
                <c:pt idx="325">
                  <c:v>1215.0974595684579</c:v>
                </c:pt>
                <c:pt idx="326">
                  <c:v>1218.5394834289316</c:v>
                </c:pt>
                <c:pt idx="327">
                  <c:v>1221.9800388324593</c:v>
                </c:pt>
                <c:pt idx="328">
                  <c:v>1225.4190281540411</c:v>
                </c:pt>
                <c:pt idx="329">
                  <c:v>1228.8563539523498</c:v>
                </c:pt>
                <c:pt idx="330">
                  <c:v>1232.2919189703846</c:v>
                </c:pt>
                <c:pt idx="331">
                  <c:v>1235.7256261361033</c:v>
                </c:pt>
                <c:pt idx="332">
                  <c:v>1239.1573785630305</c:v>
                </c:pt>
                <c:pt idx="333">
                  <c:v>1242.5870795508445</c:v>
                </c:pt>
                <c:pt idx="334">
                  <c:v>1246.0146325859416</c:v>
                </c:pt>
                <c:pt idx="335">
                  <c:v>1249.4399413419792</c:v>
                </c:pt>
                <c:pt idx="336">
                  <c:v>1252.8629096803959</c:v>
                </c:pt>
                <c:pt idx="337">
                  <c:v>1256.2834416509113</c:v>
                </c:pt>
                <c:pt idx="338">
                  <c:v>1259.7014414920034</c:v>
                </c:pt>
                <c:pt idx="339">
                  <c:v>1263.1168136313652</c:v>
                </c:pt>
                <c:pt idx="340">
                  <c:v>1266.5294626863401</c:v>
                </c:pt>
                <c:pt idx="341">
                  <c:v>1269.9392934643367</c:v>
                </c:pt>
                <c:pt idx="342">
                  <c:v>1273.3462109632226</c:v>
                </c:pt>
                <c:pt idx="343">
                  <c:v>1276.7501203716972</c:v>
                </c:pt>
                <c:pt idx="344">
                  <c:v>1280.1509270696451</c:v>
                </c:pt>
                <c:pt idx="345">
                  <c:v>1283.548536628469</c:v>
                </c:pt>
                <c:pt idx="346">
                  <c:v>1286.942854811402</c:v>
                </c:pt>
                <c:pt idx="347">
                  <c:v>1290.3337875738002</c:v>
                </c:pt>
                <c:pt idx="348">
                  <c:v>1293.721242236345</c:v>
                </c:pt>
                <c:pt idx="349">
                  <c:v>1297.1051286556749</c:v>
                </c:pt>
                <c:pt idx="350">
                  <c:v>1300.4853580464701</c:v>
                </c:pt>
                <c:pt idx="351">
                  <c:v>1303.8618418060305</c:v>
                </c:pt>
                <c:pt idx="352">
                  <c:v>1307.2344915144035</c:v>
                </c:pt>
                <c:pt idx="353">
                  <c:v>1310.603218934496</c:v>
                </c:pt>
                <c:pt idx="354">
                  <c:v>1313.9679360121679</c:v>
                </c:pt>
                <c:pt idx="355">
                  <c:v>1317.3285548763117</c:v>
                </c:pt>
                <c:pt idx="356">
                  <c:v>1320.6849878389141</c:v>
                </c:pt>
                <c:pt idx="357">
                  <c:v>1324.0371473951029</c:v>
                </c:pt>
                <c:pt idx="358">
                  <c:v>1327.3849462231772</c:v>
                </c:pt>
                <c:pt idx="359">
                  <c:v>1330.7282971846223</c:v>
                </c:pt>
                <c:pt idx="360">
                  <c:v>1334.0671377168794</c:v>
                </c:pt>
                <c:pt idx="361">
                  <c:v>1337.4014541689724</c:v>
                </c:pt>
                <c:pt idx="362">
                  <c:v>1340.7312572950639</c:v>
                </c:pt>
                <c:pt idx="363">
                  <c:v>1344.0565578052745</c:v>
                </c:pt>
                <c:pt idx="364">
                  <c:v>1347.3773663659235</c:v>
                </c:pt>
                <c:pt idx="365">
                  <c:v>1350.693693599771</c:v>
                </c:pt>
                <c:pt idx="366">
                  <c:v>1354.0055500862552</c:v>
                </c:pt>
                <c:pt idx="367">
                  <c:v>1357.3129463617308</c:v>
                </c:pt>
                <c:pt idx="368">
                  <c:v>1360.6158929197045</c:v>
                </c:pt>
                <c:pt idx="369">
                  <c:v>1363.9144002110684</c:v>
                </c:pt>
                <c:pt idx="370">
                  <c:v>1367.2084786443331</c:v>
                </c:pt>
                <c:pt idx="371">
                  <c:v>1370.4981385858584</c:v>
                </c:pt>
                <c:pt idx="372">
                  <c:v>1373.7833903600817</c:v>
                </c:pt>
                <c:pt idx="373">
                  <c:v>1377.0642442497469</c:v>
                </c:pt>
                <c:pt idx="374">
                  <c:v>1380.3407104961293</c:v>
                </c:pt>
                <c:pt idx="375">
                  <c:v>1383.612799299261</c:v>
                </c:pt>
                <c:pt idx="376">
                  <c:v>1386.8805208181534</c:v>
                </c:pt>
                <c:pt idx="377">
                  <c:v>1390.1438851710191</c:v>
                </c:pt>
                <c:pt idx="378">
                  <c:v>1393.4029024354913</c:v>
                </c:pt>
                <c:pt idx="379">
                  <c:v>1396.6575826488429</c:v>
                </c:pt>
                <c:pt idx="380">
                  <c:v>1399.9079358082033</c:v>
                </c:pt>
                <c:pt idx="381">
                  <c:v>1403.1539718707736</c:v>
                </c:pt>
                <c:pt idx="382">
                  <c:v>1406.3957007540409</c:v>
                </c:pt>
                <c:pt idx="383">
                  <c:v>1409.6331323359914</c:v>
                </c:pt>
                <c:pt idx="384">
                  <c:v>1412.8662764553208</c:v>
                </c:pt>
                <c:pt idx="385">
                  <c:v>1416.0951429116442</c:v>
                </c:pt>
                <c:pt idx="386">
                  <c:v>1419.3197414657052</c:v>
                </c:pt>
                <c:pt idx="387">
                  <c:v>1422.5400818395822</c:v>
                </c:pt>
                <c:pt idx="388">
                  <c:v>1425.7561737168937</c:v>
                </c:pt>
                <c:pt idx="389">
                  <c:v>1428.9680267430035</c:v>
                </c:pt>
                <c:pt idx="390">
                  <c:v>1432.1756505252224</c:v>
                </c:pt>
                <c:pt idx="391">
                  <c:v>1435.3790546330106</c:v>
                </c:pt>
                <c:pt idx="392">
                  <c:v>1438.578248598177</c:v>
                </c:pt>
                <c:pt idx="393">
                  <c:v>1441.7732419150786</c:v>
                </c:pt>
                <c:pt idx="394">
                  <c:v>1444.9640440408177</c:v>
                </c:pt>
                <c:pt idx="395">
                  <c:v>1448.1506643954383</c:v>
                </c:pt>
                <c:pt idx="396">
                  <c:v>1451.3331123621206</c:v>
                </c:pt>
                <c:pt idx="397">
                  <c:v>1454.5113972873746</c:v>
                </c:pt>
                <c:pt idx="398">
                  <c:v>1457.6855284812327</c:v>
                </c:pt>
                <c:pt idx="399">
                  <c:v>1460.8555152174406</c:v>
                </c:pt>
                <c:pt idx="400">
                  <c:v>1464.0213667336468</c:v>
                </c:pt>
                <c:pt idx="401">
                  <c:v>1495.45315752755</c:v>
                </c:pt>
                <c:pt idx="402">
                  <c:v>1526.4773408599779</c:v>
                </c:pt>
                <c:pt idx="403">
                  <c:v>1557.1028143335948</c:v>
                </c:pt>
                <c:pt idx="404">
                  <c:v>1587.3381388050127</c:v>
                </c:pt>
                <c:pt idx="405">
                  <c:v>1617.1915553144117</c:v>
                </c:pt>
                <c:pt idx="406">
                  <c:v>1646.6710009525584</c:v>
                </c:pt>
                <c:pt idx="407">
                  <c:v>1675.7841237447863</c:v>
                </c:pt>
                <c:pt idx="408">
                  <c:v>1704.5382966246084</c:v>
                </c:pt>
                <c:pt idx="409">
                  <c:v>1732.9406305634075</c:v>
                </c:pt>
                <c:pt idx="410">
                  <c:v>1760.9979869170302</c:v>
                </c:pt>
                <c:pt idx="411">
                  <c:v>1788.7169890450368</c:v>
                </c:pt>
                <c:pt idx="412">
                  <c:v>1816.1040332537536</c:v>
                </c:pt>
                <c:pt idx="413">
                  <c:v>1843.1652991101125</c:v>
                </c:pt>
                <c:pt idx="414">
                  <c:v>1869.9067591694729</c:v>
                </c:pt>
                <c:pt idx="415">
                  <c:v>1896.334188157188</c:v>
                </c:pt>
                <c:pt idx="416">
                  <c:v>1922.4531716405481</c:v>
                </c:pt>
                <c:pt idx="417">
                  <c:v>1948.269114224885</c:v>
                </c:pt>
                <c:pt idx="418">
                  <c:v>1973.7872473050249</c:v>
                </c:pt>
                <c:pt idx="419">
                  <c:v>1999.0126364009052</c:v>
                </c:pt>
                <c:pt idx="420">
                  <c:v>2023.9501881040073</c:v>
                </c:pt>
                <c:pt idx="421">
                  <c:v>2048.604656659274</c:v>
                </c:pt>
                <c:pt idx="422">
                  <c:v>2072.9806502053639</c:v>
                </c:pt>
                <c:pt idx="423">
                  <c:v>2097.0826366944393</c:v>
                </c:pt>
                <c:pt idx="424">
                  <c:v>2120.9149495111496</c:v>
                </c:pt>
                <c:pt idx="425">
                  <c:v>2144.4817928090802</c:v>
                </c:pt>
                <c:pt idx="426">
                  <c:v>2167.7872465816413</c:v>
                </c:pt>
                <c:pt idx="427">
                  <c:v>2190.8352714831963</c:v>
                </c:pt>
                <c:pt idx="428">
                  <c:v>2213.6297134151255</c:v>
                </c:pt>
                <c:pt idx="429">
                  <c:v>2236.1743078905306</c:v>
                </c:pt>
                <c:pt idx="430">
                  <c:v>2258.4726841903484</c:v>
                </c:pt>
                <c:pt idx="431">
                  <c:v>2280.5283693227893</c:v>
                </c:pt>
                <c:pt idx="432">
                  <c:v>2302.3447917972248</c:v>
                </c:pt>
                <c:pt idx="433">
                  <c:v>2323.9252852229206</c:v>
                </c:pt>
                <c:pt idx="434">
                  <c:v>2345.2730917423305</c:v>
                </c:pt>
                <c:pt idx="435">
                  <c:v>2366.3913653080454</c:v>
                </c:pt>
                <c:pt idx="436">
                  <c:v>2387.2831748119015</c:v>
                </c:pt>
                <c:pt idx="437">
                  <c:v>2407.9515070742295</c:v>
                </c:pt>
                <c:pt idx="438">
                  <c:v>2428.3992697007084</c:v>
                </c:pt>
                <c:pt idx="439">
                  <c:v>2448.6292938138395</c:v>
                </c:pt>
                <c:pt idx="440">
                  <c:v>2468.6443366656113</c:v>
                </c:pt>
                <c:pt idx="441">
                  <c:v>2488.4470841375382</c:v>
                </c:pt>
                <c:pt idx="442">
                  <c:v>2508.0401531338707</c:v>
                </c:pt>
                <c:pt idx="443">
                  <c:v>2527.4260938734333</c:v>
                </c:pt>
                <c:pt idx="444">
                  <c:v>2546.6073920852223</c:v>
                </c:pt>
                <c:pt idx="445">
                  <c:v>2565.5864711125937</c:v>
                </c:pt>
                <c:pt idx="446">
                  <c:v>2584.3656939305843</c:v>
                </c:pt>
                <c:pt idx="447">
                  <c:v>2602.9473650806526</c:v>
                </c:pt>
                <c:pt idx="448">
                  <c:v>2621.3337325268794</c:v>
                </c:pt>
                <c:pt idx="449">
                  <c:v>2639.5269894374314</c:v>
                </c:pt>
                <c:pt idx="450">
                  <c:v>2657.5292758948881</c:v>
                </c:pt>
                <c:pt idx="451">
                  <c:v>2675.3426805388153</c:v>
                </c:pt>
                <c:pt idx="452">
                  <c:v>2692.9692421438008</c:v>
                </c:pt>
                <c:pt idx="453">
                  <c:v>2710.4109511359666</c:v>
                </c:pt>
                <c:pt idx="454">
                  <c:v>2727.6697510508325</c:v>
                </c:pt>
                <c:pt idx="455">
                  <c:v>2744.7475399352288</c:v>
                </c:pt>
                <c:pt idx="456">
                  <c:v>2761.6461716958238</c:v>
                </c:pt>
                <c:pt idx="457">
                  <c:v>2778.3674573966905</c:v>
                </c:pt>
                <c:pt idx="458">
                  <c:v>2794.9131665082105</c:v>
                </c:pt>
                <c:pt idx="459">
                  <c:v>2811.2850281094861</c:v>
                </c:pt>
                <c:pt idx="460">
                  <c:v>2827.4847320463305</c:v>
                </c:pt>
                <c:pt idx="461">
                  <c:v>2843.5139300467845</c:v>
                </c:pt>
                <c:pt idx="462">
                  <c:v>2859.3742367960222</c:v>
                </c:pt>
                <c:pt idx="463">
                  <c:v>2875.0672309723996</c:v>
                </c:pt>
                <c:pt idx="464">
                  <c:v>2890.5944562463246</c:v>
                </c:pt>
                <c:pt idx="465">
                  <c:v>2905.9574222435322</c:v>
                </c:pt>
                <c:pt idx="466">
                  <c:v>2921.1576054742732</c:v>
                </c:pt>
                <c:pt idx="467">
                  <c:v>2936.1964502298565</c:v>
                </c:pt>
                <c:pt idx="468">
                  <c:v>2951.0753694479004</c:v>
                </c:pt>
                <c:pt idx="469">
                  <c:v>2965.7957455475948</c:v>
                </c:pt>
                <c:pt idx="470">
                  <c:v>2980.3589312362119</c:v>
                </c:pt>
                <c:pt idx="471">
                  <c:v>2994.7662502880307</c:v>
                </c:pt>
                <c:pt idx="472">
                  <c:v>3009.0189982968063</c:v>
                </c:pt>
                <c:pt idx="473">
                  <c:v>3023.1184434028391</c:v>
                </c:pt>
                <c:pt idx="474">
                  <c:v>3037.0658269956675</c:v>
                </c:pt>
                <c:pt idx="475">
                  <c:v>3050.8623643933479</c:v>
                </c:pt>
                <c:pt idx="476">
                  <c:v>3064.5092454992459</c:v>
                </c:pt>
                <c:pt idx="477">
                  <c:v>3078.0076354372222</c:v>
                </c:pt>
                <c:pt idx="478">
                  <c:v>3091.3586751660482</c:v>
                </c:pt>
                <c:pt idx="479">
                  <c:v>3104.5634820738587</c:v>
                </c:pt>
                <c:pt idx="480">
                  <c:v>3117.6231505534038</c:v>
                </c:pt>
                <c:pt idx="481">
                  <c:v>3130.5387525588335</c:v>
                </c:pt>
                <c:pt idx="482">
                  <c:v>3143.3113381447124</c:v>
                </c:pt>
                <c:pt idx="483">
                  <c:v>3155.9419359879312</c:v>
                </c:pt>
                <c:pt idx="484">
                  <c:v>3168.4315538931578</c:v>
                </c:pt>
                <c:pt idx="485">
                  <c:v>3180.7811792824318</c:v>
                </c:pt>
                <c:pt idx="486">
                  <c:v>3192.9917796694922</c:v>
                </c:pt>
                <c:pt idx="487">
                  <c:v>3205.0643031193918</c:v>
                </c:pt>
                <c:pt idx="488">
                  <c:v>3216.9996786939378</c:v>
                </c:pt>
                <c:pt idx="489">
                  <c:v>3228.7988168834659</c:v>
                </c:pt>
                <c:pt idx="490">
                  <c:v>3240.46261002544</c:v>
                </c:pt>
                <c:pt idx="491">
                  <c:v>3251.9919327103476</c:v>
                </c:pt>
                <c:pt idx="492">
                  <c:v>3263.3876421753375</c:v>
                </c:pt>
                <c:pt idx="493">
                  <c:v>3274.6505786860353</c:v>
                </c:pt>
                <c:pt idx="494">
                  <c:v>3285.7815659069456</c:v>
                </c:pt>
                <c:pt idx="495">
                  <c:v>3296.7814112608394</c:v>
                </c:pt>
                <c:pt idx="496">
                  <c:v>3307.6509062775044</c:v>
                </c:pt>
                <c:pt idx="497">
                  <c:v>3318.3908269322264</c:v>
                </c:pt>
                <c:pt idx="498">
                  <c:v>3329.001933974348</c:v>
                </c:pt>
                <c:pt idx="499">
                  <c:v>3339.4849732462412</c:v>
                </c:pt>
                <c:pt idx="500">
                  <c:v>3349.8406759930162</c:v>
                </c:pt>
                <c:pt idx="501">
                  <c:v>3360.0697591632779</c:v>
                </c:pt>
                <c:pt idx="502">
                  <c:v>3370.1729257012239</c:v>
                </c:pt>
                <c:pt idx="503">
                  <c:v>3380.150864830372</c:v>
                </c:pt>
                <c:pt idx="504">
                  <c:v>3390.0042523291913</c:v>
                </c:pt>
                <c:pt idx="505">
                  <c:v>3399.7337507988991</c:v>
                </c:pt>
                <c:pt idx="506">
                  <c:v>3409.3400099236815</c:v>
                </c:pt>
                <c:pt idx="507">
                  <c:v>3418.8236667235751</c:v>
                </c:pt>
                <c:pt idx="508">
                  <c:v>3428.185345800252</c:v>
                </c:pt>
                <c:pt idx="509">
                  <c:v>3437.4256595759284</c:v>
                </c:pt>
                <c:pt idx="510">
                  <c:v>3446.545208525617</c:v>
                </c:pt>
                <c:pt idx="511">
                  <c:v>3455.5445814029304</c:v>
                </c:pt>
                <c:pt idx="512">
                  <c:v>3464.4243554596401</c:v>
                </c:pt>
                <c:pt idx="513">
                  <c:v>3473.1850966591815</c:v>
                </c:pt>
                <c:pt idx="514">
                  <c:v>3481.8273598842966</c:v>
                </c:pt>
                <c:pt idx="515">
                  <c:v>3490.35168913899</c:v>
                </c:pt>
                <c:pt idx="516">
                  <c:v>3498.7586177449753</c:v>
                </c:pt>
                <c:pt idx="517">
                  <c:v>3507.0486685327783</c:v>
                </c:pt>
                <c:pt idx="518">
                  <c:v>3515.2223540276586</c:v>
                </c:pt>
                <c:pt idx="519">
                  <c:v>3523.2801766305083</c:v>
                </c:pt>
                <c:pt idx="520">
                  <c:v>3531.2226287938724</c:v>
                </c:pt>
                <c:pt idx="521">
                  <c:v>3539.0501931932458</c:v>
                </c:pt>
                <c:pt idx="522">
                  <c:v>3546.7633428937779</c:v>
                </c:pt>
                <c:pt idx="523">
                  <c:v>3554.362541512528</c:v>
                </c:pt>
                <c:pt idx="524">
                  <c:v>3561.8482433763988</c:v>
                </c:pt>
                <c:pt idx="525">
                  <c:v>3569.2208936758784</c:v>
                </c:pt>
                <c:pt idx="526">
                  <c:v>3576.480928614712</c:v>
                </c:pt>
                <c:pt idx="527">
                  <c:v>3583.6287755556227</c:v>
                </c:pt>
                <c:pt idx="528">
                  <c:v>3590.6648531621991</c:v>
                </c:pt>
                <c:pt idx="529">
                  <c:v>3597.5895715370593</c:v>
                </c:pt>
                <c:pt idx="530">
                  <c:v>3604.4033323564036</c:v>
                </c:pt>
                <c:pt idx="531">
                  <c:v>3611.1065290010588</c:v>
                </c:pt>
                <c:pt idx="532">
                  <c:v>3617.6995466841204</c:v>
                </c:pt>
                <c:pt idx="533">
                  <c:v>3624.1827625752908</c:v>
                </c:pt>
                <c:pt idx="534">
                  <c:v>3630.556545922012</c:v>
                </c:pt>
                <c:pt idx="535">
                  <c:v>3636.8212581674893</c:v>
                </c:pt>
                <c:pt idx="536">
                  <c:v>3642.9772530657006</c:v>
                </c:pt>
                <c:pt idx="537">
                  <c:v>3649.0248767934795</c:v>
                </c:pt>
                <c:pt idx="538">
                  <c:v>3654.9644680597667</c:v>
                </c:pt>
                <c:pt idx="539">
                  <c:v>3660.7963582121151</c:v>
                </c:pt>
                <c:pt idx="540">
                  <c:v>3666.5208713405377</c:v>
                </c:pt>
                <c:pt idx="541">
                  <c:v>3672.1383243787832</c:v>
                </c:pt>
                <c:pt idx="542">
                  <c:v>3677.6490272031265</c:v>
                </c:pt>
                <c:pt idx="543">
                  <c:v>3683.0532827287584</c:v>
                </c:pt>
                <c:pt idx="544">
                  <c:v>3688.3513870038605</c:v>
                </c:pt>
                <c:pt idx="545">
                  <c:v>3693.5436293014454</c:v>
                </c:pt>
                <c:pt idx="546">
                  <c:v>3698.6302922090554</c:v>
                </c:pt>
                <c:pt idx="547">
                  <c:v>3703.6116517163987</c:v>
                </c:pt>
                <c:pt idx="548">
                  <c:v>3708.4879773010152</c:v>
                </c:pt>
                <c:pt idx="549">
                  <c:v>3713.2595320120549</c:v>
                </c:pt>
                <c:pt idx="550">
                  <c:v>3717.9265725522664</c:v>
                </c:pt>
                <c:pt idx="551">
                  <c:v>3722.4893493582827</c:v>
                </c:pt>
                <c:pt idx="552">
                  <c:v>3726.9481066793032</c:v>
                </c:pt>
                <c:pt idx="553">
                  <c:v>3731.3030826542708</c:v>
                </c:pt>
                <c:pt idx="554">
                  <c:v>3735.5545093876462</c:v>
                </c:pt>
                <c:pt idx="555">
                  <c:v>3739.7026130238905</c:v>
                </c:pt>
                <c:pt idx="556">
                  <c:v>3743.7476138207703</c:v>
                </c:pt>
                <c:pt idx="557">
                  <c:v>3747.6897262216025</c:v>
                </c:pt>
                <c:pt idx="558">
                  <c:v>3751.5291589265721</c:v>
                </c:pt>
                <c:pt idx="559">
                  <c:v>3755.2661149632563</c:v>
                </c:pt>
                <c:pt idx="560">
                  <c:v>3758.9007917565023</c:v>
                </c:pt>
                <c:pt idx="561">
                  <c:v>3762.433381197819</c:v>
                </c:pt>
                <c:pt idx="562">
                  <c:v>3765.8640697144488</c:v>
                </c:pt>
                <c:pt idx="563">
                  <c:v>3769.1930383383046</c:v>
                </c:pt>
                <c:pt idx="564">
                  <c:v>3772.4204627749741</c:v>
                </c:pt>
                <c:pt idx="565">
                  <c:v>3775.5465134730043</c:v>
                </c:pt>
                <c:pt idx="566">
                  <c:v>3778.5713556937039</c:v>
                </c:pt>
                <c:pt idx="567">
                  <c:v>3781.4951495817204</c:v>
                </c:pt>
                <c:pt idx="568">
                  <c:v>3784.3180502366736</c:v>
                </c:pt>
                <c:pt idx="569">
                  <c:v>3787.0402077861486</c:v>
                </c:pt>
                <c:pt idx="570">
                  <c:v>3789.661767460384</c:v>
                </c:pt>
                <c:pt idx="571">
                  <c:v>3792.1828696690177</c:v>
                </c:pt>
                <c:pt idx="572">
                  <c:v>3794.6036500802848</c:v>
                </c:pt>
                <c:pt idx="573">
                  <c:v>3796.9242397030962</c:v>
                </c:pt>
                <c:pt idx="574">
                  <c:v>3799.1447649724632</c:v>
                </c:pt>
                <c:pt idx="575">
                  <c:v>3801.2653478387629</c:v>
                </c:pt>
                <c:pt idx="576">
                  <c:v>3803.2861058613817</c:v>
                </c:pt>
                <c:pt idx="577">
                  <c:v>3805.2071523073091</c:v>
                </c:pt>
                <c:pt idx="578">
                  <c:v>3807.0285962552775</c:v>
                </c:pt>
                <c:pt idx="579">
                  <c:v>3808.7505427060837</c:v>
                </c:pt>
                <c:pt idx="580">
                  <c:v>3810.3730926997437</c:v>
                </c:pt>
                <c:pt idx="581">
                  <c:v>3811.8963434401458</c:v>
                </c:pt>
                <c:pt idx="582">
                  <c:v>3813.3203884278728</c:v>
                </c:pt>
                <c:pt idx="583">
                  <c:v>3814.6453176018513</c:v>
                </c:pt>
                <c:pt idx="584">
                  <c:v>3815.8712174904558</c:v>
                </c:pt>
                <c:pt idx="585">
                  <c:v>3816.9981713726424</c:v>
                </c:pt>
                <c:pt idx="586">
                  <c:v>3818.026259449618</c:v>
                </c:pt>
                <c:pt idx="587">
                  <c:v>3818.9555590274394</c:v>
                </c:pt>
                <c:pt idx="588">
                  <c:v>3819.7861447108121</c:v>
                </c:pt>
                <c:pt idx="589">
                  <c:v>3820.5180886081921</c:v>
                </c:pt>
                <c:pt idx="590">
                  <c:v>3821.1514605481052</c:v>
                </c:pt>
                <c:pt idx="591">
                  <c:v>3821.6863283063781</c:v>
                </c:pt>
                <c:pt idx="592">
                  <c:v>3822.1227578437379</c:v>
                </c:pt>
                <c:pt idx="593">
                  <c:v>3822.4608135529875</c:v>
                </c:pt>
                <c:pt idx="594">
                  <c:v>3822.7005585147017</c:v>
                </c:pt>
                <c:pt idx="595">
                  <c:v>3822.8420547601486</c:v>
                </c:pt>
                <c:pt idx="596">
                  <c:v>3822.885363539905</c:v>
                </c:pt>
                <c:pt idx="597">
                  <c:v>3822.8305455964492</c:v>
                </c:pt>
                <c:pt idx="598">
                  <c:v>3822.6776614388555</c:v>
                </c:pt>
                <c:pt idx="599">
                  <c:v>3822.4267716176273</c:v>
                </c:pt>
                <c:pt idx="600">
                  <c:v>3822.0779369976667</c:v>
                </c:pt>
                <c:pt idx="601">
                  <c:v>3821.6312190274039</c:v>
                </c:pt>
                <c:pt idx="602">
                  <c:v>3821.0866800022063</c:v>
                </c:pt>
                <c:pt idx="603">
                  <c:v>3820.4443833203213</c:v>
                </c:pt>
                <c:pt idx="604">
                  <c:v>3819.7043937298045</c:v>
                </c:pt>
                <c:pt idx="605">
                  <c:v>3818.8667775651056</c:v>
                </c:pt>
                <c:pt idx="606">
                  <c:v>3817.9316029722368</c:v>
                </c:pt>
                <c:pt idx="607">
                  <c:v>3816.8989401216963</c:v>
                </c:pt>
                <c:pt idx="608">
                  <c:v>3815.7688614085823</c:v>
                </c:pt>
                <c:pt idx="609">
                  <c:v>3814.5414416395711</c:v>
                </c:pt>
                <c:pt idx="610">
                  <c:v>3813.21675820665</c:v>
                </c:pt>
                <c:pt idx="611">
                  <c:v>3811.7948912477009</c:v>
                </c:pt>
                <c:pt idx="612">
                  <c:v>3810.2759237941832</c:v>
                </c:pt>
                <c:pt idx="613">
                  <c:v>3808.65994190631</c:v>
                </c:pt>
                <c:pt idx="614">
                  <c:v>3806.9470347962115</c:v>
                </c:pt>
                <c:pt idx="615">
                  <c:v>3805.13729493966</c:v>
                </c:pt>
                <c:pt idx="616">
                  <c:v>3803.2308181769818</c:v>
                </c:pt>
                <c:pt idx="617">
                  <c:v>3801.2277038038083</c:v>
                </c:pt>
                <c:pt idx="618">
                  <c:v>3799.1280546523394</c:v>
                </c:pt>
                <c:pt idx="619">
                  <c:v>3796.9319771637806</c:v>
                </c:pt>
                <c:pt idx="620">
                  <c:v>3794.639581452604</c:v>
                </c:pt>
                <c:pt idx="621">
                  <c:v>3792.2509813632614</c:v>
                </c:pt>
                <c:pt idx="622">
                  <c:v>3789.7662945199472</c:v>
                </c:pt>
                <c:pt idx="623">
                  <c:v>3787.185642369971</c:v>
                </c:pt>
                <c:pt idx="624">
                  <c:v>3784.5091502212717</c:v>
                </c:pt>
                <c:pt idx="625">
                  <c:v>3781.736947274559</c:v>
                </c:pt>
                <c:pt idx="626">
                  <c:v>3778.8691666505351</c:v>
                </c:pt>
                <c:pt idx="627">
                  <c:v>3775.9059454126145</c:v>
                </c:pt>
                <c:pt idx="628">
                  <c:v>3772.8474245855214</c:v>
                </c:pt>
                <c:pt idx="629">
                  <c:v>3769.6937491701087</c:v>
                </c:pt>
                <c:pt idx="630">
                  <c:v>3766.4450681547232</c:v>
                </c:pt>
                <c:pt idx="631">
                  <c:v>3763.1015345233927</c:v>
                </c:pt>
                <c:pt idx="632">
                  <c:v>3759.6633052611051</c:v>
                </c:pt>
                <c:pt idx="633">
                  <c:v>3756.1305413564082</c:v>
                </c:pt>
                <c:pt idx="634">
                  <c:v>3752.5034078015478</c:v>
                </c:pt>
                <c:pt idx="635">
                  <c:v>3748.782073590331</c:v>
                </c:pt>
                <c:pt idx="636">
                  <c:v>3744.9667117138952</c:v>
                </c:pt>
                <c:pt idx="637">
                  <c:v>3741.0574991545313</c:v>
                </c:pt>
                <c:pt idx="638">
                  <c:v>3737.0546168777109</c:v>
                </c:pt>
                <c:pt idx="639">
                  <c:v>3732.9582498224386</c:v>
                </c:pt>
                <c:pt idx="640">
                  <c:v>3728.7685868900494</c:v>
                </c:pt>
                <c:pt idx="641">
                  <c:v>3724.4858209315544</c:v>
                </c:pt>
                <c:pt idx="642">
                  <c:v>3720.1101487336264</c:v>
                </c:pt>
                <c:pt idx="643">
                  <c:v>3715.641771003317</c:v>
                </c:pt>
                <c:pt idx="644">
                  <c:v>3711.0808923515774</c:v>
                </c:pt>
                <c:pt idx="645">
                  <c:v>3706.4277212756547</c:v>
                </c:pt>
                <c:pt idx="646">
                  <c:v>3701.6824701404321</c:v>
                </c:pt>
                <c:pt idx="647">
                  <c:v>3696.8453551587645</c:v>
                </c:pt>
                <c:pt idx="648">
                  <c:v>3691.9165963708679</c:v>
                </c:pt>
                <c:pt idx="649">
                  <c:v>3686.8964176228096</c:v>
                </c:pt>
                <c:pt idx="650">
                  <c:v>3681.7850465441452</c:v>
                </c:pt>
                <c:pt idx="651">
                  <c:v>3676.582714524739</c:v>
                </c:pt>
                <c:pt idx="652">
                  <c:v>3671.2896566908121</c:v>
                </c:pt>
                <c:pt idx="653">
                  <c:v>3665.9061118802488</c:v>
                </c:pt>
                <c:pt idx="654">
                  <c:v>3660.4323226171919</c:v>
                </c:pt>
                <c:pt idx="655">
                  <c:v>3654.8685350859619</c:v>
                </c:pt>
                <c:pt idx="656">
                  <c:v>3649.2149991043225</c:v>
                </c:pt>
                <c:pt idx="657">
                  <c:v>3643.4719680961225</c:v>
                </c:pt>
                <c:pt idx="658">
                  <c:v>3637.639699063333</c:v>
                </c:pt>
                <c:pt idx="659">
                  <c:v>3631.7184525575085</c:v>
                </c:pt>
                <c:pt idx="660">
                  <c:v>3625.7084926506873</c:v>
                </c:pt>
                <c:pt idx="661">
                  <c:v>3619.6100869057555</c:v>
                </c:pt>
                <c:pt idx="662">
                  <c:v>3613.4235063462893</c:v>
                </c:pt>
                <c:pt idx="663">
                  <c:v>3607.1490254258988</c:v>
                </c:pt>
                <c:pt idx="664">
                  <c:v>3600.7869219970826</c:v>
                </c:pt>
                <c:pt idx="665">
                  <c:v>3594.3374772796174</c:v>
                </c:pt>
                <c:pt idx="666">
                  <c:v>3587.8009758284916</c:v>
                </c:pt>
                <c:pt idx="667">
                  <c:v>3581.1777055014009</c:v>
                </c:pt>
                <c:pt idx="668">
                  <c:v>3574.4679574258184</c:v>
                </c:pt>
                <c:pt idx="669">
                  <c:v>3567.672025965654</c:v>
                </c:pt>
                <c:pt idx="670">
                  <c:v>3560.7902086875147</c:v>
                </c:pt>
                <c:pt idx="671">
                  <c:v>3553.8228063265801</c:v>
                </c:pt>
                <c:pt idx="672">
                  <c:v>3546.7701227521038</c:v>
                </c:pt>
                <c:pt idx="673">
                  <c:v>3539.6324649325525</c:v>
                </c:pt>
                <c:pt idx="674">
                  <c:v>3532.4101429003963</c:v>
                </c:pt>
                <c:pt idx="675">
                  <c:v>3525.1034697165587</c:v>
                </c:pt>
                <c:pt idx="676">
                  <c:v>3517.7127614345395</c:v>
                </c:pt>
                <c:pt idx="677">
                  <c:v>3510.2383370642206</c:v>
                </c:pt>
                <c:pt idx="678">
                  <c:v>3502.6805185353637</c:v>
                </c:pt>
                <c:pt idx="679">
                  <c:v>3495.0396306608131</c:v>
                </c:pt>
                <c:pt idx="680">
                  <c:v>3487.316001099412</c:v>
                </c:pt>
                <c:pt idx="681">
                  <c:v>3479.5099603186409</c:v>
                </c:pt>
                <c:pt idx="682">
                  <c:v>3471.621841556992</c:v>
                </c:pt>
                <c:pt idx="683">
                  <c:v>3463.651980786085</c:v>
                </c:pt>
                <c:pt idx="684">
                  <c:v>3455.6007166725358</c:v>
                </c:pt>
                <c:pt idx="685">
                  <c:v>3447.4683905395877</c:v>
                </c:pt>
                <c:pt idx="686">
                  <c:v>3439.2553463285144</c:v>
                </c:pt>
                <c:pt idx="687">
                  <c:v>3430.9619305598035</c:v>
                </c:pt>
                <c:pt idx="688">
                  <c:v>3422.5884922941291</c:v>
                </c:pt>
                <c:pt idx="689">
                  <c:v>3414.1353830931253</c:v>
                </c:pt>
                <c:pt idx="690">
                  <c:v>3405.6029569799653</c:v>
                </c:pt>
                <c:pt idx="691">
                  <c:v>3396.9915703997594</c:v>
                </c:pt>
                <c:pt idx="692">
                  <c:v>3388.3015821797767</c:v>
                </c:pt>
                <c:pt idx="693">
                  <c:v>3379.533353489504</c:v>
                </c:pt>
                <c:pt idx="694">
                  <c:v>3370.6872478005453</c:v>
                </c:pt>
                <c:pt idx="695">
                  <c:v>3361.7636308463743</c:v>
                </c:pt>
                <c:pt idx="696">
                  <c:v>3352.7628705819475</c:v>
                </c:pt>
                <c:pt idx="697">
                  <c:v>3343.6853371431871</c:v>
                </c:pt>
                <c:pt idx="698">
                  <c:v>3334.5314028063394</c:v>
                </c:pt>
                <c:pt idx="699">
                  <c:v>3325.3014419472211</c:v>
                </c:pt>
                <c:pt idx="700">
                  <c:v>3315.9958310003594</c:v>
                </c:pt>
                <c:pt idx="701">
                  <c:v>3306.6149484180346</c:v>
                </c:pt>
                <c:pt idx="702">
                  <c:v>3297.1591746292343</c:v>
                </c:pt>
                <c:pt idx="703">
                  <c:v>3287.6288919985268</c:v>
                </c:pt>
                <c:pt idx="704">
                  <c:v>3278.0244847848626</c:v>
                </c:pt>
                <c:pt idx="705">
                  <c:v>3268.3463391003102</c:v>
                </c:pt>
                <c:pt idx="706">
                  <c:v>3258.5948428687375</c:v>
                </c:pt>
                <c:pt idx="707">
                  <c:v>3248.7703857844449</c:v>
                </c:pt>
                <c:pt idx="708">
                  <c:v>3238.8733592707572</c:v>
                </c:pt>
                <c:pt idx="709">
                  <c:v>3228.9041564385843</c:v>
                </c:pt>
                <c:pt idx="710">
                  <c:v>3218.8631720449594</c:v>
                </c:pt>
                <c:pt idx="711">
                  <c:v>3208.7508024515578</c:v>
                </c:pt>
                <c:pt idx="712">
                  <c:v>3198.5674455832109</c:v>
                </c:pt>
                <c:pt idx="713">
                  <c:v>3188.3135008864165</c:v>
                </c:pt>
                <c:pt idx="714">
                  <c:v>3177.9893692878591</c:v>
                </c:pt>
                <c:pt idx="715">
                  <c:v>3167.5954531529433</c:v>
                </c:pt>
                <c:pt idx="716">
                  <c:v>3157.1321562443504</c:v>
                </c:pt>
                <c:pt idx="717">
                  <c:v>3146.5998836806257</c:v>
                </c:pt>
                <c:pt idx="718">
                  <c:v>3135.9990418948018</c:v>
                </c:pt>
                <c:pt idx="719">
                  <c:v>3125.3300385930702</c:v>
                </c:pt>
                <c:pt idx="720">
                  <c:v>3114.5932827135007</c:v>
                </c:pt>
                <c:pt idx="721">
                  <c:v>3103.7891843848265</c:v>
                </c:pt>
                <c:pt idx="722">
                  <c:v>3092.9181548852912</c:v>
                </c:pt>
                <c:pt idx="723">
                  <c:v>3081.9806066015735</c:v>
                </c:pt>
                <c:pt idx="724">
                  <c:v>3070.9769529877926</c:v>
                </c:pt>
                <c:pt idx="725">
                  <c:v>3059.9076085246024</c:v>
                </c:pt>
                <c:pt idx="726">
                  <c:v>3048.7729886783814</c:v>
                </c:pt>
                <c:pt idx="727">
                  <c:v>3037.5735098605246</c:v>
                </c:pt>
                <c:pt idx="728">
                  <c:v>3026.3095893868472</c:v>
                </c:pt>
                <c:pt idx="729">
                  <c:v>3014.9816454371016</c:v>
                </c:pt>
                <c:pt idx="730">
                  <c:v>3003.5900970146213</c:v>
                </c:pt>
                <c:pt idx="731">
                  <c:v>2992.1353639060908</c:v>
                </c:pt>
                <c:pt idx="732">
                  <c:v>2980.6178666414557</c:v>
                </c:pt>
                <c:pt idx="733">
                  <c:v>2969.0380264539731</c:v>
                </c:pt>
                <c:pt idx="734">
                  <c:v>2957.3962652404134</c:v>
                </c:pt>
                <c:pt idx="735">
                  <c:v>2945.693005521417</c:v>
                </c:pt>
                <c:pt idx="736">
                  <c:v>2933.9286704020137</c:v>
                </c:pt>
                <c:pt idx="737">
                  <c:v>2922.1036835323098</c:v>
                </c:pt>
                <c:pt idx="738">
                  <c:v>2910.2184690683512</c:v>
                </c:pt>
                <c:pt idx="739">
                  <c:v>2898.2734516331657</c:v>
                </c:pt>
                <c:pt idx="740">
                  <c:v>2886.2690562779931</c:v>
                </c:pt>
                <c:pt idx="741">
                  <c:v>2874.205708443707</c:v>
                </c:pt>
                <c:pt idx="742">
                  <c:v>2862.0838339224356</c:v>
                </c:pt>
                <c:pt idx="743">
                  <c:v>2849.9038588193862</c:v>
                </c:pt>
                <c:pt idx="744">
                  <c:v>2837.666209514879</c:v>
                </c:pt>
                <c:pt idx="745">
                  <c:v>2825.3713126265975</c:v>
                </c:pt>
                <c:pt idx="746">
                  <c:v>2813.0195949720578</c:v>
                </c:pt>
                <c:pt idx="747">
                  <c:v>2800.6114835313051</c:v>
                </c:pt>
                <c:pt idx="748">
                  <c:v>2788.1474054098412</c:v>
                </c:pt>
                <c:pt idx="749">
                  <c:v>2775.6277878017881</c:v>
                </c:pt>
                <c:pt idx="750">
                  <c:v>2763.0530579532947</c:v>
                </c:pt>
                <c:pt idx="751">
                  <c:v>2750.423643126187</c:v>
                </c:pt>
                <c:pt idx="752">
                  <c:v>2737.7399705618736</c:v>
                </c:pt>
                <c:pt idx="753">
                  <c:v>2725.0024674455035</c:v>
                </c:pt>
                <c:pt idx="754">
                  <c:v>2712.2115608703884</c:v>
                </c:pt>
                <c:pt idx="755">
                  <c:v>2699.3676778026879</c:v>
                </c:pt>
                <c:pt idx="756">
                  <c:v>2686.4712450463653</c:v>
                </c:pt>
                <c:pt idx="757">
                  <c:v>2673.5226892084183</c:v>
                </c:pt>
                <c:pt idx="758">
                  <c:v>2660.5224366643888</c:v>
                </c:pt>
                <c:pt idx="759">
                  <c:v>2647.4709135241537</c:v>
                </c:pt>
                <c:pt idx="760">
                  <c:v>2634.3685455980044</c:v>
                </c:pt>
                <c:pt idx="761">
                  <c:v>2621.2157583630164</c:v>
                </c:pt>
                <c:pt idx="762">
                  <c:v>2608.012976929715</c:v>
                </c:pt>
                <c:pt idx="763">
                  <c:v>2594.7606260090374</c:v>
                </c:pt>
                <c:pt idx="764">
                  <c:v>2581.459129879599</c:v>
                </c:pt>
                <c:pt idx="765">
                  <c:v>2568.1089123552642</c:v>
                </c:pt>
                <c:pt idx="766">
                  <c:v>2554.7103967530279</c:v>
                </c:pt>
                <c:pt idx="767">
                  <c:v>2541.2640058612096</c:v>
                </c:pt>
                <c:pt idx="768">
                  <c:v>2527.7701619079612</c:v>
                </c:pt>
                <c:pt idx="769">
                  <c:v>2514.2292865300969</c:v>
                </c:pt>
                <c:pt idx="770">
                  <c:v>2500.6418007422444</c:v>
                </c:pt>
                <c:pt idx="771">
                  <c:v>2487.0081249063201</c:v>
                </c:pt>
                <c:pt idx="772">
                  <c:v>2473.328678701333</c:v>
                </c:pt>
                <c:pt idx="773">
                  <c:v>2459.6038810935211</c:v>
                </c:pt>
                <c:pt idx="774">
                  <c:v>2445.8341503068182</c:v>
                </c:pt>
                <c:pt idx="775">
                  <c:v>2432.0199037936577</c:v>
                </c:pt>
                <c:pt idx="776">
                  <c:v>2418.1615582061163</c:v>
                </c:pt>
                <c:pt idx="777">
                  <c:v>2404.2595293673967</c:v>
                </c:pt>
                <c:pt idx="778">
                  <c:v>2390.3142322436538</c:v>
                </c:pt>
                <c:pt idx="779">
                  <c:v>2376.3260809161657</c:v>
                </c:pt>
                <c:pt idx="780">
                  <c:v>2362.2954885538516</c:v>
                </c:pt>
                <c:pt idx="781">
                  <c:v>2348.2228673861396</c:v>
                </c:pt>
                <c:pt idx="782">
                  <c:v>2334.1086286761843</c:v>
                </c:pt>
                <c:pt idx="783">
                  <c:v>2319.9531826944371</c:v>
                </c:pt>
                <c:pt idx="784">
                  <c:v>2305.7569386925716</c:v>
                </c:pt>
                <c:pt idx="785">
                  <c:v>2291.5203048777621</c:v>
                </c:pt>
                <c:pt idx="786">
                  <c:v>2277.2436883873224</c:v>
                </c:pt>
                <c:pt idx="787">
                  <c:v>2262.9274952637006</c:v>
                </c:pt>
                <c:pt idx="788">
                  <c:v>2248.5721304298336</c:v>
                </c:pt>
                <c:pt idx="789">
                  <c:v>2234.1779976648641</c:v>
                </c:pt>
                <c:pt idx="790">
                  <c:v>2219.7454995802159</c:v>
                </c:pt>
                <c:pt idx="791">
                  <c:v>2205.2750375960363</c:v>
                </c:pt>
                <c:pt idx="792">
                  <c:v>2190.7670119179966</c:v>
                </c:pt>
                <c:pt idx="793">
                  <c:v>2176.2218215144608</c:v>
                </c:pt>
                <c:pt idx="794">
                  <c:v>2161.6398640940183</c:v>
                </c:pt>
                <c:pt idx="795">
                  <c:v>2147.0215360833795</c:v>
                </c:pt>
                <c:pt idx="796">
                  <c:v>2132.3672326056399</c:v>
                </c:pt>
                <c:pt idx="797">
                  <c:v>2117.6773474589081</c:v>
                </c:pt>
                <c:pt idx="798">
                  <c:v>2102.9522730953017</c:v>
                </c:pt>
                <c:pt idx="799">
                  <c:v>2088.1924006003092</c:v>
                </c:pt>
                <c:pt idx="800">
                  <c:v>2073.3981196725172</c:v>
                </c:pt>
                <c:pt idx="801">
                  <c:v>2058.5698186037052</c:v>
                </c:pt>
                <c:pt idx="802">
                  <c:v>2043.7078842593069</c:v>
                </c:pt>
                <c:pt idx="803">
                  <c:v>2028.8127020592367</c:v>
                </c:pt>
                <c:pt idx="804">
                  <c:v>2013.8846559590836</c:v>
                </c:pt>
                <c:pt idx="805">
                  <c:v>1998.9241284316686</c:v>
                </c:pt>
                <c:pt idx="806">
                  <c:v>1983.9315004489688</c:v>
                </c:pt>
                <c:pt idx="807">
                  <c:v>1968.9071514644052</c:v>
                </c:pt>
                <c:pt idx="808">
                  <c:v>1953.8514593954947</c:v>
                </c:pt>
                <c:pt idx="809">
                  <c:v>1938.7648006068653</c:v>
                </c:pt>
                <c:pt idx="810">
                  <c:v>1923.6475498936334</c:v>
                </c:pt>
                <c:pt idx="811">
                  <c:v>1908.5000804651434</c:v>
                </c:pt>
                <c:pt idx="812">
                  <c:v>1893.3227639290667</c:v>
                </c:pt>
                <c:pt idx="813">
                  <c:v>1878.1159702758619</c:v>
                </c:pt>
                <c:pt idx="814">
                  <c:v>1862.8800678635916</c:v>
                </c:pt>
                <c:pt idx="815">
                  <c:v>1847.6154234030987</c:v>
                </c:pt>
                <c:pt idx="816">
                  <c:v>1832.3224019435374</c:v>
                </c:pt>
                <c:pt idx="817">
                  <c:v>1817.0013668582592</c:v>
                </c:pt>
                <c:pt idx="818">
                  <c:v>1801.6526798310529</c:v>
                </c:pt>
                <c:pt idx="819">
                  <c:v>1786.2767008427363</c:v>
                </c:pt>
                <c:pt idx="820">
                  <c:v>1770.8737881580983</c:v>
                </c:pt>
                <c:pt idx="821">
                  <c:v>1755.4442983131898</c:v>
                </c:pt>
                <c:pt idx="822">
                  <c:v>1739.9885861029632</c:v>
                </c:pt>
                <c:pt idx="823">
                  <c:v>1724.5070045692551</c:v>
                </c:pt>
                <c:pt idx="824">
                  <c:v>1708.9999049891153</c:v>
                </c:pt>
                <c:pt idx="825">
                  <c:v>1693.4676368634762</c:v>
                </c:pt>
                <c:pt idx="826">
                  <c:v>1677.9105479061632</c:v>
                </c:pt>
                <c:pt idx="827">
                  <c:v>1662.3289840332423</c:v>
                </c:pt>
                <c:pt idx="828">
                  <c:v>1646.7232893527053</c:v>
                </c:pt>
                <c:pt idx="829">
                  <c:v>1631.0938061544878</c:v>
                </c:pt>
                <c:pt idx="830">
                  <c:v>1615.4408749008201</c:v>
                </c:pt>
                <c:pt idx="831">
                  <c:v>1599.7648342169073</c:v>
                </c:pt>
                <c:pt idx="832">
                  <c:v>1584.0660208819377</c:v>
                </c:pt>
                <c:pt idx="833">
                  <c:v>1568.3447698204159</c:v>
                </c:pt>
                <c:pt idx="834">
                  <c:v>1552.6014140938198</c:v>
                </c:pt>
                <c:pt idx="835">
                  <c:v>1536.8362848925776</c:v>
                </c:pt>
                <c:pt idx="836">
                  <c:v>1521.0497115283633</c:v>
                </c:pt>
                <c:pt idx="837">
                  <c:v>1505.2420214267086</c:v>
                </c:pt>
                <c:pt idx="838">
                  <c:v>1489.4135401199269</c:v>
                </c:pt>
                <c:pt idx="839">
                  <c:v>1473.5645912403497</c:v>
                </c:pt>
                <c:pt idx="840">
                  <c:v>1457.6954965138707</c:v>
                </c:pt>
                <c:pt idx="841">
                  <c:v>1441.8065757537947</c:v>
                </c:pt>
                <c:pt idx="842">
                  <c:v>1425.8981468549907</c:v>
                </c:pt>
                <c:pt idx="843">
                  <c:v>1409.970525788345</c:v>
                </c:pt>
                <c:pt idx="844">
                  <c:v>1394.0240265955113</c:v>
                </c:pt>
                <c:pt idx="845">
                  <c:v>1378.0589613839566</c:v>
                </c:pt>
                <c:pt idx="846">
                  <c:v>1362.0756403222986</c:v>
                </c:pt>
                <c:pt idx="847">
                  <c:v>1346.0743716359325</c:v>
                </c:pt>
                <c:pt idx="848">
                  <c:v>1330.0554616029442</c:v>
                </c:pt>
                <c:pt idx="849">
                  <c:v>1314.019214550307</c:v>
                </c:pt>
                <c:pt idx="850">
                  <c:v>1297.965932850359</c:v>
                </c:pt>
                <c:pt idx="851">
                  <c:v>1281.895916917558</c:v>
                </c:pt>
                <c:pt idx="852">
                  <c:v>1265.809465205512</c:v>
                </c:pt>
                <c:pt idx="853">
                  <c:v>1249.7068742042798</c:v>
                </c:pt>
                <c:pt idx="854">
                  <c:v>1233.5884384379424</c:v>
                </c:pt>
                <c:pt idx="855">
                  <c:v>1217.4544504624389</c:v>
                </c:pt>
                <c:pt idx="856">
                  <c:v>1201.305200863665</c:v>
                </c:pt>
                <c:pt idx="857">
                  <c:v>1185.1409782558321</c:v>
                </c:pt>
                <c:pt idx="858">
                  <c:v>1168.9620692800822</c:v>
                </c:pt>
                <c:pt idx="859">
                  <c:v>1152.7687586033569</c:v>
                </c:pt>
                <c:pt idx="860">
                  <c:v>1136.5613289175164</c:v>
                </c:pt>
                <c:pt idx="861">
                  <c:v>1120.3400609387063</c:v>
                </c:pt>
                <c:pt idx="862">
                  <c:v>1104.1052334069673</c:v>
                </c:pt>
                <c:pt idx="863">
                  <c:v>1087.8571230860878</c:v>
                </c:pt>
                <c:pt idx="864">
                  <c:v>1071.5960047636929</c:v>
                </c:pt>
                <c:pt idx="865">
                  <c:v>1055.3221512515688</c:v>
                </c:pt>
                <c:pt idx="866">
                  <c:v>1039.0358333862187</c:v>
                </c:pt>
                <c:pt idx="867">
                  <c:v>1022.7373200296464</c:v>
                </c:pt>
                <c:pt idx="868">
                  <c:v>1006.4268780703667</c:v>
                </c:pt>
                <c:pt idx="869">
                  <c:v>990.10477242463571</c:v>
                </c:pt>
                <c:pt idx="870">
                  <c:v>973.77126603790157</c:v>
                </c:pt>
                <c:pt idx="871">
                  <c:v>957.42661988647012</c:v>
                </c:pt>
                <c:pt idx="872">
                  <c:v>941.07109297938314</c:v>
                </c:pt>
                <c:pt idx="873">
                  <c:v>924.70494236050592</c:v>
                </c:pt>
                <c:pt idx="874">
                  <c:v>908.32842311082072</c:v>
                </c:pt>
                <c:pt idx="875">
                  <c:v>891.94178835092305</c:v>
                </c:pt>
                <c:pt idx="876">
                  <c:v>875.54528924371789</c:v>
                </c:pt>
                <c:pt idx="877">
                  <c:v>859.1391749973119</c:v>
                </c:pt>
                <c:pt idx="878">
                  <c:v>842.72369286809942</c:v>
                </c:pt>
                <c:pt idx="879">
                  <c:v>826.29908816403827</c:v>
                </c:pt>
                <c:pt idx="880">
                  <c:v>809.8656042481125</c:v>
                </c:pt>
                <c:pt idx="881">
                  <c:v>793.42348254197918</c:v>
                </c:pt>
                <c:pt idx="882">
                  <c:v>776.97296252979504</c:v>
                </c:pt>
                <c:pt idx="883">
                  <c:v>760.51428176222169</c:v>
                </c:pt>
                <c:pt idx="884">
                  <c:v>744.04767586060404</c:v>
                </c:pt>
                <c:pt idx="885">
                  <c:v>727.57337852132059</c:v>
                </c:pt>
                <c:pt idx="886">
                  <c:v>711.09162152030137</c:v>
                </c:pt>
                <c:pt idx="887">
                  <c:v>694.60263471771111</c:v>
                </c:pt>
                <c:pt idx="888">
                  <c:v>678.10664606279386</c:v>
                </c:pt>
                <c:pt idx="889">
                  <c:v>661.60388159887657</c:v>
                </c:pt>
                <c:pt idx="890">
                  <c:v>645.09456546852857</c:v>
                </c:pt>
                <c:pt idx="891">
                  <c:v>628.578919918873</c:v>
                </c:pt>
                <c:pt idx="892">
                  <c:v>612.05716530704842</c:v>
                </c:pt>
                <c:pt idx="893">
                  <c:v>595.52952010581635</c:v>
                </c:pt>
                <c:pt idx="894">
                  <c:v>578.99620090931285</c:v>
                </c:pt>
                <c:pt idx="895">
                  <c:v>562.45742243894017</c:v>
                </c:pt>
                <c:pt idx="896">
                  <c:v>545.91339754939611</c:v>
                </c:pt>
                <c:pt idx="897">
                  <c:v>529.36433723483799</c:v>
                </c:pt>
                <c:pt idx="898">
                  <c:v>512.81045063517763</c:v>
                </c:pt>
                <c:pt idx="899">
                  <c:v>496.25194504250595</c:v>
                </c:pt>
                <c:pt idx="900">
                  <c:v>479.68902590764236</c:v>
                </c:pt>
                <c:pt idx="901">
                  <c:v>463.12189684680766</c:v>
                </c:pt>
                <c:pt idx="902">
                  <c:v>446.55075964841649</c:v>
                </c:pt>
                <c:pt idx="903">
                  <c:v>429.97581427998722</c:v>
                </c:pt>
                <c:pt idx="904">
                  <c:v>413.39725889516575</c:v>
                </c:pt>
                <c:pt idx="905">
                  <c:v>396.81528984086123</c:v>
                </c:pt>
                <c:pt idx="906">
                  <c:v>380.23010166449006</c:v>
                </c:pt>
                <c:pt idx="907">
                  <c:v>363.64188712132614</c:v>
                </c:pt>
                <c:pt idx="908">
                  <c:v>347.05083718195402</c:v>
                </c:pt>
                <c:pt idx="909">
                  <c:v>330.45714103982272</c:v>
                </c:pt>
                <c:pt idx="910">
                  <c:v>313.86098611889707</c:v>
                </c:pt>
                <c:pt idx="911">
                  <c:v>297.26255808140451</c:v>
                </c:pt>
                <c:pt idx="912">
                  <c:v>280.66204083567379</c:v>
                </c:pt>
                <c:pt idx="913">
                  <c:v>264.059616544064</c:v>
                </c:pt>
                <c:pt idx="914">
                  <c:v>247.45546563098048</c:v>
                </c:pt>
                <c:pt idx="915">
                  <c:v>230.84976679097537</c:v>
                </c:pt>
                <c:pt idx="916">
                  <c:v>214.24269699693036</c:v>
                </c:pt>
                <c:pt idx="917">
                  <c:v>197.6344315083189</c:v>
                </c:pt>
                <c:pt idx="918">
                  <c:v>181.02514387954545</c:v>
                </c:pt>
                <c:pt idx="919">
                  <c:v>164.41500596835928</c:v>
                </c:pt>
                <c:pt idx="920">
                  <c:v>147.80418794434044</c:v>
                </c:pt>
                <c:pt idx="921">
                  <c:v>131.19285829745533</c:v>
                </c:pt>
                <c:pt idx="922">
                  <c:v>114.58118384667965</c:v>
                </c:pt>
                <c:pt idx="923">
                  <c:v>97.969329748686206</c:v>
                </c:pt>
                <c:pt idx="924">
                  <c:v>81.357459506595305</c:v>
                </c:pt>
                <c:pt idx="925">
                  <c:v>64.745734978785379</c:v>
                </c:pt>
                <c:pt idx="926">
                  <c:v>48.134316387761601</c:v>
                </c:pt>
                <c:pt idx="927">
                  <c:v>31.523362329080197</c:v>
                </c:pt>
                <c:pt idx="928">
                  <c:v>14.913029780326177</c:v>
                </c:pt>
                <c:pt idx="929">
                  <c:v>-1.696525889857643</c:v>
                </c:pt>
                <c:pt idx="930">
                  <c:v>-1.7131350179433664</c:v>
                </c:pt>
                <c:pt idx="931">
                  <c:v>-1.7297441450218813</c:v>
                </c:pt>
                <c:pt idx="932">
                  <c:v>-1.7463532710930365</c:v>
                </c:pt>
                <c:pt idx="933">
                  <c:v>-1.7629623961566805</c:v>
                </c:pt>
                <c:pt idx="934">
                  <c:v>-1.7795715202126621</c:v>
                </c:pt>
                <c:pt idx="935">
                  <c:v>-1.79618064326083</c:v>
                </c:pt>
                <c:pt idx="936">
                  <c:v>-1.8127897653010332</c:v>
                </c:pt>
                <c:pt idx="937">
                  <c:v>-1.8293988863331203</c:v>
                </c:pt>
                <c:pt idx="938">
                  <c:v>-1.84600800635694</c:v>
                </c:pt>
                <c:pt idx="939">
                  <c:v>-1.8626171253723409</c:v>
                </c:pt>
                <c:pt idx="940">
                  <c:v>-1.879226243379172</c:v>
                </c:pt>
                <c:pt idx="941">
                  <c:v>-1.8958353603772817</c:v>
                </c:pt>
                <c:pt idx="942">
                  <c:v>-1.9124444763665192</c:v>
                </c:pt>
                <c:pt idx="943">
                  <c:v>-1.9290535913467328</c:v>
                </c:pt>
                <c:pt idx="944">
                  <c:v>-1.9456627053177715</c:v>
                </c:pt>
                <c:pt idx="945">
                  <c:v>-1.962271818279484</c:v>
                </c:pt>
                <c:pt idx="946">
                  <c:v>-1.9788809302317192</c:v>
                </c:pt>
                <c:pt idx="947">
                  <c:v>-1.9954900411743257</c:v>
                </c:pt>
                <c:pt idx="948">
                  <c:v>-2.0120991511071522</c:v>
                </c:pt>
                <c:pt idx="949">
                  <c:v>-2.0287082600300477</c:v>
                </c:pt>
                <c:pt idx="950">
                  <c:v>-2.0453173679428605</c:v>
                </c:pt>
                <c:pt idx="951">
                  <c:v>-2.06192647484544</c:v>
                </c:pt>
                <c:pt idx="952">
                  <c:v>-2.0785355807376344</c:v>
                </c:pt>
                <c:pt idx="953">
                  <c:v>-2.0951446856192928</c:v>
                </c:pt>
                <c:pt idx="954">
                  <c:v>-2.1117537894902636</c:v>
                </c:pt>
                <c:pt idx="955">
                  <c:v>-2.1283628923503959</c:v>
                </c:pt>
                <c:pt idx="956">
                  <c:v>-2.1449719941995382</c:v>
                </c:pt>
                <c:pt idx="957">
                  <c:v>-2.1615810950375396</c:v>
                </c:pt>
                <c:pt idx="958">
                  <c:v>-2.1781901948642486</c:v>
                </c:pt>
                <c:pt idx="959">
                  <c:v>-2.1947992936795142</c:v>
                </c:pt>
                <c:pt idx="960">
                  <c:v>-2.211408391483185</c:v>
                </c:pt>
                <c:pt idx="961">
                  <c:v>-2.22801748827511</c:v>
                </c:pt>
                <c:pt idx="962">
                  <c:v>-2.2446265840551378</c:v>
                </c:pt>
                <c:pt idx="963">
                  <c:v>-2.2612356788231169</c:v>
                </c:pt>
                <c:pt idx="964">
                  <c:v>-2.2778447725788964</c:v>
                </c:pt>
                <c:pt idx="965">
                  <c:v>-2.2944538653223252</c:v>
                </c:pt>
                <c:pt idx="966">
                  <c:v>-2.3110629570532519</c:v>
                </c:pt>
                <c:pt idx="967">
                  <c:v>-2.3276720477715256</c:v>
                </c:pt>
                <c:pt idx="968">
                  <c:v>-2.3442811374769947</c:v>
                </c:pt>
                <c:pt idx="969">
                  <c:v>-2.3608902261695079</c:v>
                </c:pt>
                <c:pt idx="970">
                  <c:v>-2.3774993138489142</c:v>
                </c:pt>
                <c:pt idx="971">
                  <c:v>-2.3941084005150626</c:v>
                </c:pt>
                <c:pt idx="972">
                  <c:v>-2.4107174861678016</c:v>
                </c:pt>
                <c:pt idx="973">
                  <c:v>-2.4273265708069798</c:v>
                </c:pt>
                <c:pt idx="974">
                  <c:v>-2.4439356544324462</c:v>
                </c:pt>
                <c:pt idx="975">
                  <c:v>-2.4605447370440499</c:v>
                </c:pt>
                <c:pt idx="976">
                  <c:v>-2.4771538186416393</c:v>
                </c:pt>
                <c:pt idx="977">
                  <c:v>-2.4937628992250636</c:v>
                </c:pt>
                <c:pt idx="978">
                  <c:v>-2.5103719787941712</c:v>
                </c:pt>
                <c:pt idx="979">
                  <c:v>-2.5269810573488107</c:v>
                </c:pt>
                <c:pt idx="980">
                  <c:v>-2.5435901348888317</c:v>
                </c:pt>
                <c:pt idx="981">
                  <c:v>-2.5601992114140826</c:v>
                </c:pt>
                <c:pt idx="982">
                  <c:v>-2.576808286924412</c:v>
                </c:pt>
                <c:pt idx="983">
                  <c:v>-2.5934173614196689</c:v>
                </c:pt>
                <c:pt idx="984">
                  <c:v>-2.610026434899702</c:v>
                </c:pt>
                <c:pt idx="985">
                  <c:v>-2.6266355073643601</c:v>
                </c:pt>
                <c:pt idx="986">
                  <c:v>-2.6432445788134924</c:v>
                </c:pt>
                <c:pt idx="987">
                  <c:v>-2.6598536492469473</c:v>
                </c:pt>
                <c:pt idx="988">
                  <c:v>-2.676462718664574</c:v>
                </c:pt>
                <c:pt idx="989">
                  <c:v>-2.6930717870662209</c:v>
                </c:pt>
                <c:pt idx="990">
                  <c:v>-2.709680854451737</c:v>
                </c:pt>
                <c:pt idx="991">
                  <c:v>-2.726289920820971</c:v>
                </c:pt>
                <c:pt idx="992">
                  <c:v>-2.7428989861737718</c:v>
                </c:pt>
                <c:pt idx="993">
                  <c:v>-2.7595080505099885</c:v>
                </c:pt>
                <c:pt idx="994">
                  <c:v>-2.7761171138294696</c:v>
                </c:pt>
                <c:pt idx="995">
                  <c:v>-2.7927261761320641</c:v>
                </c:pt>
                <c:pt idx="996">
                  <c:v>-2.8093352374176206</c:v>
                </c:pt>
                <c:pt idx="997">
                  <c:v>-2.8259442976859881</c:v>
                </c:pt>
                <c:pt idx="998">
                  <c:v>-2.8425533569370152</c:v>
                </c:pt>
                <c:pt idx="999">
                  <c:v>-2.8591624151705513</c:v>
                </c:pt>
                <c:pt idx="1000">
                  <c:v>-2.8757714723864445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1-4567-B7A1-067915120221}"/>
            </c:ext>
          </c:extLst>
        </c:ser>
        <c:ser>
          <c:idx val="1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358.22</c:v>
                </c:pt>
                <c:pt idx="1">
                  <c:v>359.48699323120798</c:v>
                </c:pt>
                <c:pt idx="2">
                  <c:v>360.75517890128333</c:v>
                </c:pt>
                <c:pt idx="3">
                  <c:v>362.02720502605382</c:v>
                </c:pt>
                <c:pt idx="4">
                  <c:v>363.30571997979428</c:v>
                </c:pt>
                <c:pt idx="5">
                  <c:v>364.59337354548046</c:v>
                </c:pt>
                <c:pt idx="6">
                  <c:v>365.89214634546295</c:v>
                </c:pt>
                <c:pt idx="7">
                  <c:v>367.20267761929568</c:v>
                </c:pt>
                <c:pt idx="8">
                  <c:v>368.5249352923118</c:v>
                </c:pt>
                <c:pt idx="9">
                  <c:v>369.8588871748924</c:v>
                </c:pt>
                <c:pt idx="10">
                  <c:v>371.20450096316586</c:v>
                </c:pt>
                <c:pt idx="11">
                  <c:v>372.56174423971169</c:v>
                </c:pt>
                <c:pt idx="12">
                  <c:v>373.9305844742687</c:v>
                </c:pt>
                <c:pt idx="13">
                  <c:v>375.31098902444791</c:v>
                </c:pt>
                <c:pt idx="14">
                  <c:v>376.70292513644944</c:v>
                </c:pt>
                <c:pt idx="15">
                  <c:v>378.10635994578399</c:v>
                </c:pt>
                <c:pt idx="16">
                  <c:v>379.52126047799817</c:v>
                </c:pt>
                <c:pt idx="17">
                  <c:v>380.94759364940404</c:v>
                </c:pt>
                <c:pt idx="18">
                  <c:v>382.38532626781262</c:v>
                </c:pt>
                <c:pt idx="19">
                  <c:v>383.8344250332712</c:v>
                </c:pt>
                <c:pt idx="20">
                  <c:v>385.29485653880454</c:v>
                </c:pt>
                <c:pt idx="21">
                  <c:v>386.76658727115984</c:v>
                </c:pt>
                <c:pt idx="22">
                  <c:v>388.24958361155512</c:v>
                </c:pt>
                <c:pt idx="23">
                  <c:v>389.74381183643141</c:v>
                </c:pt>
                <c:pt idx="24">
                  <c:v>391.24923811820821</c:v>
                </c:pt>
                <c:pt idx="25">
                  <c:v>392.76582852604253</c:v>
                </c:pt>
                <c:pt idx="26">
                  <c:v>394.29354902659088</c:v>
                </c:pt>
                <c:pt idx="27">
                  <c:v>395.83236548477504</c:v>
                </c:pt>
                <c:pt idx="28">
                  <c:v>397.38224366455046</c:v>
                </c:pt>
                <c:pt idx="29">
                  <c:v>398.94314922967789</c:v>
                </c:pt>
                <c:pt idx="30">
                  <c:v>400.51504774449819</c:v>
                </c:pt>
                <c:pt idx="31">
                  <c:v>402.09790467470981</c:v>
                </c:pt>
                <c:pt idx="32">
                  <c:v>403.6916853881491</c:v>
                </c:pt>
                <c:pt idx="33">
                  <c:v>405.29635515557356</c:v>
                </c:pt>
                <c:pt idx="34">
                  <c:v>406.91187915144764</c:v>
                </c:pt>
                <c:pt idx="35">
                  <c:v>408.53822245473111</c:v>
                </c:pt>
                <c:pt idx="36">
                  <c:v>410.17535004966999</c:v>
                </c:pt>
                <c:pt idx="37">
                  <c:v>411.82322682658997</c:v>
                </c:pt>
                <c:pt idx="38">
                  <c:v>413.48181758269214</c:v>
                </c:pt>
                <c:pt idx="39">
                  <c:v>415.15108702285113</c:v>
                </c:pt>
                <c:pt idx="40">
                  <c:v>416.83099976041524</c:v>
                </c:pt>
                <c:pt idx="41">
                  <c:v>418.52152031800892</c:v>
                </c:pt>
                <c:pt idx="42">
                  <c:v>420.22261312833734</c:v>
                </c:pt>
                <c:pt idx="43">
                  <c:v>421.93424253499279</c:v>
                </c:pt>
                <c:pt idx="44">
                  <c:v>423.65637279326319</c:v>
                </c:pt>
                <c:pt idx="45">
                  <c:v>425.38896807094227</c:v>
                </c:pt>
                <c:pt idx="46">
                  <c:v>427.13199244914176</c:v>
                </c:pt>
                <c:pt idx="47">
                  <c:v>428.8854099231051</c:v>
                </c:pt>
                <c:pt idx="48">
                  <c:v>430.6491844030229</c:v>
                </c:pt>
                <c:pt idx="49">
                  <c:v>432.42327971484985</c:v>
                </c:pt>
                <c:pt idx="50">
                  <c:v>434.20765960112328</c:v>
                </c:pt>
                <c:pt idx="51">
                  <c:v>436.00229128152</c:v>
                </c:pt>
                <c:pt idx="52">
                  <c:v>437.80714901800877</c:v>
                </c:pt>
                <c:pt idx="53">
                  <c:v>439.62221056069609</c:v>
                </c:pt>
                <c:pt idx="54">
                  <c:v>441.44745358889804</c:v>
                </c:pt>
                <c:pt idx="55">
                  <c:v>443.28285571160336</c:v>
                </c:pt>
                <c:pt idx="56">
                  <c:v>445.12839446793811</c:v>
                </c:pt>
                <c:pt idx="57">
                  <c:v>446.98404732763231</c:v>
                </c:pt>
                <c:pt idx="58">
                  <c:v>448.84979169148824</c:v>
                </c:pt>
                <c:pt idx="59">
                  <c:v>450.72560489185025</c:v>
                </c:pt>
                <c:pt idx="60">
                  <c:v>452.61146419307659</c:v>
                </c:pt>
                <c:pt idx="61">
                  <c:v>454.50734679201236</c:v>
                </c:pt>
                <c:pt idx="62">
                  <c:v>456.41322981846452</c:v>
                </c:pt>
                <c:pt idx="63">
                  <c:v>458.32909033567802</c:v>
                </c:pt>
                <c:pt idx="64">
                  <c:v>460.25490534081393</c:v>
                </c:pt>
                <c:pt idx="65">
                  <c:v>462.19065176542841</c:v>
                </c:pt>
                <c:pt idx="66">
                  <c:v>464.13630647595375</c:v>
                </c:pt>
                <c:pt idx="67">
                  <c:v>466.09184627418034</c:v>
                </c:pt>
                <c:pt idx="68">
                  <c:v>468.0572478977403</c:v>
                </c:pt>
                <c:pt idx="69">
                  <c:v>470.03248802059233</c:v>
                </c:pt>
                <c:pt idx="70">
                  <c:v>472.01754325350782</c:v>
                </c:pt>
                <c:pt idx="71">
                  <c:v>474.01239014455831</c:v>
                </c:pt>
                <c:pt idx="72">
                  <c:v>476.01700517960404</c:v>
                </c:pt>
                <c:pt idx="73">
                  <c:v>478.03136478278401</c:v>
                </c:pt>
                <c:pt idx="74">
                  <c:v>480.05544531700679</c:v>
                </c:pt>
                <c:pt idx="75">
                  <c:v>482.08922308444272</c:v>
                </c:pt>
                <c:pt idx="76">
                  <c:v>484.13267432701713</c:v>
                </c:pt>
                <c:pt idx="77">
                  <c:v>486.18577522690464</c:v>
                </c:pt>
                <c:pt idx="78">
                  <c:v>488.24850190702443</c:v>
                </c:pt>
                <c:pt idx="79">
                  <c:v>490.32083043153659</c:v>
                </c:pt>
                <c:pt idx="80">
                  <c:v>492.40273680633931</c:v>
                </c:pt>
                <c:pt idx="81">
                  <c:v>494.49419697956705</c:v>
                </c:pt>
                <c:pt idx="82">
                  <c:v>496.59518684208967</c:v>
                </c:pt>
                <c:pt idx="83">
                  <c:v>498.70568222801234</c:v>
                </c:pt>
                <c:pt idx="84">
                  <c:v>500.82565891517618</c:v>
                </c:pt>
                <c:pt idx="85">
                  <c:v>502.95509262565986</c:v>
                </c:pt>
                <c:pt idx="86">
                  <c:v>505.09395902628182</c:v>
                </c:pt>
                <c:pt idx="87">
                  <c:v>507.24223372910342</c:v>
                </c:pt>
                <c:pt idx="88">
                  <c:v>509.39989229193242</c:v>
                </c:pt>
                <c:pt idx="89">
                  <c:v>511.56691021882739</c:v>
                </c:pt>
                <c:pt idx="90">
                  <c:v>513.74326296060281</c:v>
                </c:pt>
                <c:pt idx="91">
                  <c:v>515.92892591533439</c:v>
                </c:pt>
                <c:pt idx="92">
                  <c:v>518.12387442886529</c:v>
                </c:pt>
                <c:pt idx="93">
                  <c:v>520.32808379531275</c:v>
                </c:pt>
                <c:pt idx="94">
                  <c:v>522.54152925757523</c:v>
                </c:pt>
                <c:pt idx="95">
                  <c:v>524.76418600783995</c:v>
                </c:pt>
                <c:pt idx="96">
                  <c:v>526.9960291880908</c:v>
                </c:pt>
                <c:pt idx="97">
                  <c:v>529.23703389061689</c:v>
                </c:pt>
                <c:pt idx="98">
                  <c:v>531.48717515852127</c:v>
                </c:pt>
                <c:pt idx="99">
                  <c:v>533.74642798622995</c:v>
                </c:pt>
                <c:pt idx="100">
                  <c:v>536.01476732000128</c:v>
                </c:pt>
                <c:pt idx="101">
                  <c:v>538.29216640444599</c:v>
                </c:pt>
                <c:pt idx="102">
                  <c:v>540.57859512767118</c:v>
                </c:pt>
                <c:pt idx="103">
                  <c:v>542.87402167499397</c:v>
                </c:pt>
                <c:pt idx="104">
                  <c:v>545.17841418410751</c:v>
                </c:pt>
                <c:pt idx="105">
                  <c:v>547.49174074574341</c:v>
                </c:pt>
                <c:pt idx="106">
                  <c:v>549.8139694043341</c:v>
                </c:pt>
                <c:pt idx="107">
                  <c:v>552.14506815867389</c:v>
                </c:pt>
                <c:pt idx="108">
                  <c:v>554.48500496258009</c:v>
                </c:pt>
                <c:pt idx="109">
                  <c:v>556.83374772555351</c:v>
                </c:pt>
                <c:pt idx="110">
                  <c:v>559.19126431343773</c:v>
                </c:pt>
                <c:pt idx="111">
                  <c:v>561.55752254907839</c:v>
                </c:pt>
                <c:pt idx="112">
                  <c:v>563.93249021298118</c:v>
                </c:pt>
                <c:pt idx="113">
                  <c:v>566.31613504396944</c:v>
                </c:pt>
                <c:pt idx="114">
                  <c:v>568.70842473984055</c:v>
                </c:pt>
                <c:pt idx="115">
                  <c:v>571.10932695802205</c:v>
                </c:pt>
                <c:pt idx="116">
                  <c:v>573.51880931622622</c:v>
                </c:pt>
                <c:pt idx="117">
                  <c:v>575.93683939310404</c:v>
                </c:pt>
                <c:pt idx="118">
                  <c:v>578.36338472889838</c:v>
                </c:pt>
                <c:pt idx="119">
                  <c:v>580.79841282609561</c:v>
                </c:pt>
                <c:pt idx="120">
                  <c:v>583.24189115007687</c:v>
                </c:pt>
                <c:pt idx="121">
                  <c:v>585.69378712976766</c:v>
                </c:pt>
                <c:pt idx="122">
                  <c:v>588.15406815828646</c:v>
                </c:pt>
                <c:pt idx="123">
                  <c:v>590.62270159359264</c:v>
                </c:pt>
                <c:pt idx="124">
                  <c:v>593.09965475913236</c:v>
                </c:pt>
                <c:pt idx="125">
                  <c:v>595.58489494448384</c:v>
                </c:pt>
                <c:pt idx="126">
                  <c:v>598.07838940600118</c:v>
                </c:pt>
                <c:pt idx="127">
                  <c:v>600.58010536745701</c:v>
                </c:pt>
                <c:pt idx="128">
                  <c:v>603.09001002068351</c:v>
                </c:pt>
                <c:pt idx="129">
                  <c:v>605.60807052621226</c:v>
                </c:pt>
                <c:pt idx="130">
                  <c:v>608.13425401391248</c:v>
                </c:pt>
                <c:pt idx="131">
                  <c:v>610.66852758362825</c:v>
                </c:pt>
                <c:pt idx="132">
                  <c:v>613.21085830581387</c:v>
                </c:pt>
                <c:pt idx="133">
                  <c:v>615.76121322216761</c:v>
                </c:pt>
                <c:pt idx="134">
                  <c:v>618.31955934626444</c:v>
                </c:pt>
                <c:pt idx="135">
                  <c:v>620.88586366418645</c:v>
                </c:pt>
                <c:pt idx="136">
                  <c:v>623.46009313515242</c:v>
                </c:pt>
                <c:pt idx="137">
                  <c:v>626.04221469214508</c:v>
                </c:pt>
                <c:pt idx="138">
                  <c:v>628.63219524253725</c:v>
                </c:pt>
                <c:pt idx="139">
                  <c:v>631.23000166871566</c:v>
                </c:pt>
                <c:pt idx="140">
                  <c:v>633.83560082870372</c:v>
                </c:pt>
                <c:pt idx="141">
                  <c:v>636.4489595567818</c:v>
                </c:pt>
                <c:pt idx="142">
                  <c:v>639.07004466410649</c:v>
                </c:pt>
                <c:pt idx="143">
                  <c:v>641.69882293932721</c:v>
                </c:pt>
                <c:pt idx="144">
                  <c:v>644.33526114920153</c:v>
                </c:pt>
                <c:pt idx="145">
                  <c:v>646.97932603920833</c:v>
                </c:pt>
                <c:pt idx="146">
                  <c:v>649.63098433415917</c:v>
                </c:pt>
                <c:pt idx="147">
                  <c:v>652.29020273880758</c:v>
                </c:pt>
                <c:pt idx="148">
                  <c:v>654.95694793845644</c:v>
                </c:pt>
                <c:pt idx="149">
                  <c:v>657.63118659956353</c:v>
                </c:pt>
                <c:pt idx="150">
                  <c:v>660.31288537034447</c:v>
                </c:pt>
                <c:pt idx="151">
                  <c:v>663.00201144821119</c:v>
                </c:pt>
                <c:pt idx="152">
                  <c:v>665.69853314739169</c:v>
                </c:pt>
                <c:pt idx="153">
                  <c:v>668.4024193324384</c:v>
                </c:pt>
                <c:pt idx="154">
                  <c:v>671.11363885152809</c:v>
                </c:pt>
                <c:pt idx="155">
                  <c:v>673.83216053700721</c:v>
                </c:pt>
                <c:pt idx="156">
                  <c:v>676.55795320593597</c:v>
                </c:pt>
                <c:pt idx="157">
                  <c:v>679.29098566062976</c:v>
                </c:pt>
                <c:pt idx="158">
                  <c:v>682.03122668919934</c:v>
                </c:pt>
                <c:pt idx="159">
                  <c:v>684.77864506608853</c:v>
                </c:pt>
                <c:pt idx="160">
                  <c:v>687.53320955261029</c:v>
                </c:pt>
                <c:pt idx="161">
                  <c:v>690.29488889748052</c:v>
                </c:pt>
                <c:pt idx="162">
                  <c:v>693.06365183735011</c:v>
                </c:pt>
                <c:pt idx="163">
                  <c:v>695.83946709733482</c:v>
                </c:pt>
                <c:pt idx="164">
                  <c:v>698.62230339154303</c:v>
                </c:pt>
                <c:pt idx="165">
                  <c:v>701.41212942360141</c:v>
                </c:pt>
                <c:pt idx="166">
                  <c:v>704.20891388717848</c:v>
                </c:pt>
                <c:pt idx="167">
                  <c:v>707.01262546650628</c:v>
                </c:pt>
                <c:pt idx="168">
                  <c:v>709.82323283689971</c:v>
                </c:pt>
                <c:pt idx="169">
                  <c:v>712.64070466527335</c:v>
                </c:pt>
                <c:pt idx="170">
                  <c:v>715.46500961065692</c:v>
                </c:pt>
                <c:pt idx="171">
                  <c:v>718.29611632470767</c:v>
                </c:pt>
                <c:pt idx="172">
                  <c:v>721.13399345222103</c:v>
                </c:pt>
                <c:pt idx="173">
                  <c:v>723.97860963163907</c:v>
                </c:pt>
                <c:pt idx="174">
                  <c:v>726.82993349555636</c:v>
                </c:pt>
                <c:pt idx="175">
                  <c:v>729.68793367122373</c:v>
                </c:pt>
                <c:pt idx="176">
                  <c:v>732.55257878104987</c:v>
                </c:pt>
                <c:pt idx="177">
                  <c:v>735.4238374431003</c:v>
                </c:pt>
                <c:pt idx="178">
                  <c:v>738.30167827159426</c:v>
                </c:pt>
                <c:pt idx="179">
                  <c:v>741.18606987739929</c:v>
                </c:pt>
                <c:pt idx="180">
                  <c:v>744.07698086852326</c:v>
                </c:pt>
                <c:pt idx="181">
                  <c:v>746.9743798506039</c:v>
                </c:pt>
                <c:pt idx="182">
                  <c:v>749.87823542739625</c:v>
                </c:pt>
                <c:pt idx="183">
                  <c:v>752.78851620125783</c:v>
                </c:pt>
                <c:pt idx="184">
                  <c:v>755.70519077363053</c:v>
                </c:pt>
                <c:pt idx="185">
                  <c:v>758.62822774552126</c:v>
                </c:pt>
                <c:pt idx="186">
                  <c:v>761.55759571797921</c:v>
                </c:pt>
                <c:pt idx="187">
                  <c:v>764.49326329257087</c:v>
                </c:pt>
                <c:pt idx="188">
                  <c:v>767.43519907185282</c:v>
                </c:pt>
                <c:pt idx="189">
                  <c:v>770.38337165984194</c:v>
                </c:pt>
                <c:pt idx="190">
                  <c:v>773.33774966248268</c:v>
                </c:pt>
                <c:pt idx="191">
                  <c:v>776.29830168811247</c:v>
                </c:pt>
                <c:pt idx="192">
                  <c:v>779.26499634792401</c:v>
                </c:pt>
                <c:pt idx="193">
                  <c:v>782.23780225642543</c:v>
                </c:pt>
                <c:pt idx="194">
                  <c:v>785.21668803189777</c:v>
                </c:pt>
                <c:pt idx="195">
                  <c:v>788.20162229684945</c:v>
                </c:pt>
                <c:pt idx="196">
                  <c:v>791.19257367846899</c:v>
                </c:pt>
                <c:pt idx="197">
                  <c:v>794.18951080907448</c:v>
                </c:pt>
                <c:pt idx="198">
                  <c:v>797.19240232656045</c:v>
                </c:pt>
                <c:pt idx="199">
                  <c:v>800.20121687484243</c:v>
                </c:pt>
                <c:pt idx="200">
                  <c:v>803.21592310429901</c:v>
                </c:pt>
                <c:pt idx="201">
                  <c:v>806.2364896722105</c:v>
                </c:pt>
                <c:pt idx="202">
                  <c:v>809.2628852431958</c:v>
                </c:pt>
                <c:pt idx="203">
                  <c:v>812.29507848964613</c:v>
                </c:pt>
                <c:pt idx="204">
                  <c:v>815.33303809215613</c:v>
                </c:pt>
                <c:pt idx="205">
                  <c:v>818.37673273995244</c:v>
                </c:pt>
                <c:pt idx="206">
                  <c:v>821.42613113131938</c:v>
                </c:pt>
                <c:pt idx="207">
                  <c:v>824.48120197402227</c:v>
                </c:pt>
                <c:pt idx="208">
                  <c:v>827.54191398572743</c:v>
                </c:pt>
                <c:pt idx="209">
                  <c:v>830.60823589442043</c:v>
                </c:pt>
                <c:pt idx="210">
                  <c:v>833.68013643882045</c:v>
                </c:pt>
                <c:pt idx="211">
                  <c:v>836.75758436879289</c:v>
                </c:pt>
                <c:pt idx="212">
                  <c:v>839.84054844575871</c:v>
                </c:pt>
                <c:pt idx="213">
                  <c:v>842.92899744310125</c:v>
                </c:pt>
                <c:pt idx="214">
                  <c:v>846.02290014657012</c:v>
                </c:pt>
                <c:pt idx="215">
                  <c:v>849.12222535468266</c:v>
                </c:pt>
                <c:pt idx="216">
                  <c:v>852.22694187912214</c:v>
                </c:pt>
                <c:pt idx="217">
                  <c:v>855.33701854513367</c:v>
                </c:pt>
                <c:pt idx="218">
                  <c:v>858.45242419191709</c:v>
                </c:pt>
                <c:pt idx="219">
                  <c:v>861.57312767301687</c:v>
                </c:pt>
                <c:pt idx="220">
                  <c:v>864.69909785671007</c:v>
                </c:pt>
                <c:pt idx="221">
                  <c:v>867.83030362639033</c:v>
                </c:pt>
                <c:pt idx="222">
                  <c:v>870.9667138809499</c:v>
                </c:pt>
                <c:pt idx="223">
                  <c:v>874.10829753515861</c:v>
                </c:pt>
                <c:pt idx="224">
                  <c:v>877.25502352004025</c:v>
                </c:pt>
                <c:pt idx="225">
                  <c:v>880.40686078324552</c:v>
                </c:pt>
                <c:pt idx="226">
                  <c:v>883.563778289423</c:v>
                </c:pt>
                <c:pt idx="227">
                  <c:v>886.72574502058671</c:v>
                </c:pt>
                <c:pt idx="228">
                  <c:v>889.89272997648106</c:v>
                </c:pt>
                <c:pt idx="229">
                  <c:v>893.06470217494302</c:v>
                </c:pt>
                <c:pt idx="230">
                  <c:v>896.24163065226151</c:v>
                </c:pt>
                <c:pt idx="231">
                  <c:v>899.42348446353355</c:v>
                </c:pt>
                <c:pt idx="232">
                  <c:v>902.61023268301847</c:v>
                </c:pt>
                <c:pt idx="233">
                  <c:v>905.80184440448807</c:v>
                </c:pt>
                <c:pt idx="234">
                  <c:v>908.99828874157515</c:v>
                </c:pt>
                <c:pt idx="235">
                  <c:v>912.19953482811832</c:v>
                </c:pt>
                <c:pt idx="236">
                  <c:v>915.40555181850459</c:v>
                </c:pt>
                <c:pt idx="237">
                  <c:v>918.6163088880088</c:v>
                </c:pt>
                <c:pt idx="238">
                  <c:v>921.83177523313009</c:v>
                </c:pt>
                <c:pt idx="239">
                  <c:v>925.05192007192591</c:v>
                </c:pt>
                <c:pt idx="240">
                  <c:v>928.27671264434309</c:v>
                </c:pt>
                <c:pt idx="241">
                  <c:v>931.50612221254573</c:v>
                </c:pt>
                <c:pt idx="242">
                  <c:v>934.74011806124088</c:v>
                </c:pt>
                <c:pt idx="243">
                  <c:v>937.97866949800061</c:v>
                </c:pt>
                <c:pt idx="244">
                  <c:v>941.22174585358221</c:v>
                </c:pt>
                <c:pt idx="245">
                  <c:v>944.46931648224438</c:v>
                </c:pt>
                <c:pt idx="246">
                  <c:v>947.72135076206166</c:v>
                </c:pt>
                <c:pt idx="247">
                  <c:v>950.97781809523565</c:v>
                </c:pt>
                <c:pt idx="248">
                  <c:v>954.23868790840299</c:v>
                </c:pt>
                <c:pt idx="249">
                  <c:v>957.50392965294111</c:v>
                </c:pt>
                <c:pt idx="250">
                  <c:v>960.7735128052708</c:v>
                </c:pt>
                <c:pt idx="251">
                  <c:v>964.04740439173315</c:v>
                </c:pt>
                <c:pt idx="252">
                  <c:v>967.32556651479206</c:v>
                </c:pt>
                <c:pt idx="253">
                  <c:v>970.60795883360367</c:v>
                </c:pt>
                <c:pt idx="254">
                  <c:v>973.89454104332742</c:v>
                </c:pt>
                <c:pt idx="255">
                  <c:v>977.18527287556026</c:v>
                </c:pt>
                <c:pt idx="256">
                  <c:v>980.48011409876642</c:v>
                </c:pt>
                <c:pt idx="257">
                  <c:v>983.77902451870193</c:v>
                </c:pt>
                <c:pt idx="258">
                  <c:v>987.08196397883557</c:v>
                </c:pt>
                <c:pt idx="259">
                  <c:v>990.38889236076398</c:v>
                </c:pt>
                <c:pt idx="260">
                  <c:v>993.69976958462325</c:v>
                </c:pt>
                <c:pt idx="261">
                  <c:v>997.01455560949512</c:v>
                </c:pt>
                <c:pt idx="262">
                  <c:v>1000.3332104338092</c:v>
                </c:pt>
                <c:pt idx="263">
                  <c:v>1003.65569409574</c:v>
                </c:pt>
                <c:pt idx="264">
                  <c:v>1006.9819666735999</c:v>
                </c:pt>
                <c:pt idx="265">
                  <c:v>1010.3119882862272</c:v>
                </c:pt>
                <c:pt idx="266">
                  <c:v>1013.64571909337</c:v>
                </c:pt>
                <c:pt idx="267">
                  <c:v>1016.9831192960646</c:v>
                </c:pt>
                <c:pt idx="268">
                  <c:v>1020.3241491370112</c:v>
                </c:pt>
                <c:pt idx="269">
                  <c:v>1023.6687689009427</c:v>
                </c:pt>
                <c:pt idx="270">
                  <c:v>1027.0169389149908</c:v>
                </c:pt>
                <c:pt idx="271">
                  <c:v>1030.368619549047</c:v>
                </c:pt>
                <c:pt idx="272">
                  <c:v>1033.7237712161188</c:v>
                </c:pt>
                <c:pt idx="273">
                  <c:v>1037.0823543726817</c:v>
                </c:pt>
                <c:pt idx="274">
                  <c:v>1040.444329519027</c:v>
                </c:pt>
                <c:pt idx="275">
                  <c:v>1043.8096571996043</c:v>
                </c:pt>
                <c:pt idx="276">
                  <c:v>1047.1782980033609</c:v>
                </c:pt>
                <c:pt idx="277">
                  <c:v>1050.5502125640749</c:v>
                </c:pt>
                <c:pt idx="278">
                  <c:v>1053.9253615606854</c:v>
                </c:pt>
                <c:pt idx="279">
                  <c:v>1057.3037057176182</c:v>
                </c:pt>
                <c:pt idx="280">
                  <c:v>1060.6852058051059</c:v>
                </c:pt>
                <c:pt idx="281">
                  <c:v>1064.0698226395048</c:v>
                </c:pt>
                <c:pt idx="282">
                  <c:v>1067.4575170836067</c:v>
                </c:pt>
                <c:pt idx="283">
                  <c:v>1070.8482500469474</c:v>
                </c:pt>
                <c:pt idx="284">
                  <c:v>1074.2419824861092</c:v>
                </c:pt>
                <c:pt idx="285">
                  <c:v>1077.6386754050204</c:v>
                </c:pt>
                <c:pt idx="286">
                  <c:v>1081.0382898552498</c:v>
                </c:pt>
                <c:pt idx="287">
                  <c:v>1084.4407869362974</c:v>
                </c:pt>
                <c:pt idx="288">
                  <c:v>1087.8461277958804</c:v>
                </c:pt>
                <c:pt idx="289">
                  <c:v>1091.254273630215</c:v>
                </c:pt>
                <c:pt idx="290">
                  <c:v>1094.6651856842939</c:v>
                </c:pt>
                <c:pt idx="291">
                  <c:v>1098.0788252521597</c:v>
                </c:pt>
                <c:pt idx="292">
                  <c:v>1101.4951536771746</c:v>
                </c:pt>
                <c:pt idx="293">
                  <c:v>1104.9141323522845</c:v>
                </c:pt>
                <c:pt idx="294">
                  <c:v>1108.3357227202798</c:v>
                </c:pt>
                <c:pt idx="295">
                  <c:v>1111.7598862740524</c:v>
                </c:pt>
                <c:pt idx="296">
                  <c:v>1115.1865845568475</c:v>
                </c:pt>
                <c:pt idx="297">
                  <c:v>1118.6157791625126</c:v>
                </c:pt>
                <c:pt idx="298">
                  <c:v>1122.0474044417065</c:v>
                </c:pt>
                <c:pt idx="299">
                  <c:v>1125.4813402352108</c:v>
                </c:pt>
                <c:pt idx="300">
                  <c:v>1128.9174392426266</c:v>
                </c:pt>
                <c:pt idx="301">
                  <c:v>1132.3555543654779</c:v>
                </c:pt>
                <c:pt idx="302">
                  <c:v>1135.7955387104471</c:v>
                </c:pt>
                <c:pt idx="303">
                  <c:v>1139.237245592554</c:v>
                </c:pt>
                <c:pt idx="304">
                  <c:v>1142.6805285382816</c:v>
                </c:pt>
                <c:pt idx="305">
                  <c:v>1146.1252412886458</c:v>
                </c:pt>
                <c:pt idx="306">
                  <c:v>1149.5712378022113</c:v>
                </c:pt>
                <c:pt idx="307">
                  <c:v>1153.0183722580523</c:v>
                </c:pt>
                <c:pt idx="308">
                  <c:v>1156.4664990586598</c:v>
                </c:pt>
                <c:pt idx="309">
                  <c:v>1159.9154728327935</c:v>
                </c:pt>
                <c:pt idx="310">
                  <c:v>1163.3651484382806</c:v>
                </c:pt>
                <c:pt idx="311">
                  <c:v>1166.8153809647604</c:v>
                </c:pt>
                <c:pt idx="312">
                  <c:v>1170.2660257363748</c:v>
                </c:pt>
                <c:pt idx="313">
                  <c:v>1173.716938314406</c:v>
                </c:pt>
                <c:pt idx="314">
                  <c:v>1177.1679744998605</c:v>
                </c:pt>
                <c:pt idx="315">
                  <c:v>1180.6189903359998</c:v>
                </c:pt>
                <c:pt idx="316">
                  <c:v>1184.0698421108184</c:v>
                </c:pt>
                <c:pt idx="317">
                  <c:v>1187.5203863594695</c:v>
                </c:pt>
                <c:pt idx="318">
                  <c:v>1190.9704798666369</c:v>
                </c:pt>
                <c:pt idx="319">
                  <c:v>1194.4199796688565</c:v>
                </c:pt>
                <c:pt idx="320">
                  <c:v>1197.8687430567843</c:v>
                </c:pt>
                <c:pt idx="321">
                  <c:v>1201.3166384471067</c:v>
                </c:pt>
                <c:pt idx="322">
                  <c:v>1204.7635562360797</c:v>
                </c:pt>
                <c:pt idx="323">
                  <c:v>1208.2093978909531</c:v>
                </c:pt>
                <c:pt idx="324">
                  <c:v>1211.6540650590343</c:v>
                </c:pt>
                <c:pt idx="325">
                  <c:v>1215.0974595684579</c:v>
                </c:pt>
                <c:pt idx="326">
                  <c:v>1218.5394834289316</c:v>
                </c:pt>
                <c:pt idx="327">
                  <c:v>1221.9800388324593</c:v>
                </c:pt>
                <c:pt idx="328">
                  <c:v>1225.4190281540411</c:v>
                </c:pt>
                <c:pt idx="329">
                  <c:v>1228.8563539523498</c:v>
                </c:pt>
                <c:pt idx="330">
                  <c:v>1232.2919189703846</c:v>
                </c:pt>
                <c:pt idx="331">
                  <c:v>1235.7256261361033</c:v>
                </c:pt>
                <c:pt idx="332">
                  <c:v>1239.1573785630305</c:v>
                </c:pt>
                <c:pt idx="333">
                  <c:v>1242.5870795508445</c:v>
                </c:pt>
                <c:pt idx="334">
                  <c:v>1246.0146325859416</c:v>
                </c:pt>
                <c:pt idx="335">
                  <c:v>1249.4399413419792</c:v>
                </c:pt>
                <c:pt idx="336">
                  <c:v>1252.8629096803959</c:v>
                </c:pt>
                <c:pt idx="337">
                  <c:v>1256.2834416509113</c:v>
                </c:pt>
                <c:pt idx="338">
                  <c:v>1259.7014414920034</c:v>
                </c:pt>
                <c:pt idx="339">
                  <c:v>1263.1168136313652</c:v>
                </c:pt>
                <c:pt idx="340">
                  <c:v>1266.5294626863401</c:v>
                </c:pt>
                <c:pt idx="341">
                  <c:v>1269.9392934643367</c:v>
                </c:pt>
                <c:pt idx="342">
                  <c:v>1273.3462109632226</c:v>
                </c:pt>
                <c:pt idx="343">
                  <c:v>1276.7501203716972</c:v>
                </c:pt>
                <c:pt idx="344">
                  <c:v>1280.1509270696451</c:v>
                </c:pt>
                <c:pt idx="345">
                  <c:v>1283.548536628469</c:v>
                </c:pt>
                <c:pt idx="346">
                  <c:v>1286.942854811402</c:v>
                </c:pt>
                <c:pt idx="347">
                  <c:v>1290.3337875738002</c:v>
                </c:pt>
                <c:pt idx="348">
                  <c:v>1293.721242236345</c:v>
                </c:pt>
                <c:pt idx="349">
                  <c:v>1297.1051286556749</c:v>
                </c:pt>
                <c:pt idx="350">
                  <c:v>1300.4853580464701</c:v>
                </c:pt>
                <c:pt idx="351">
                  <c:v>1303.8618418060305</c:v>
                </c:pt>
                <c:pt idx="352">
                  <c:v>1307.2344915144035</c:v>
                </c:pt>
                <c:pt idx="353">
                  <c:v>1310.603218934496</c:v>
                </c:pt>
                <c:pt idx="354">
                  <c:v>1313.9679360121679</c:v>
                </c:pt>
                <c:pt idx="355">
                  <c:v>1317.3285548763117</c:v>
                </c:pt>
                <c:pt idx="356">
                  <c:v>1320.6849878389141</c:v>
                </c:pt>
                <c:pt idx="357">
                  <c:v>1324.0371473951029</c:v>
                </c:pt>
                <c:pt idx="358">
                  <c:v>1327.3849462231772</c:v>
                </c:pt>
                <c:pt idx="359">
                  <c:v>1330.7282971846223</c:v>
                </c:pt>
                <c:pt idx="360">
                  <c:v>1334.0671377168794</c:v>
                </c:pt>
                <c:pt idx="361">
                  <c:v>1337.4014541689724</c:v>
                </c:pt>
                <c:pt idx="362">
                  <c:v>1340.7312572950639</c:v>
                </c:pt>
                <c:pt idx="363">
                  <c:v>1344.0565578052745</c:v>
                </c:pt>
                <c:pt idx="364">
                  <c:v>1347.3773663659235</c:v>
                </c:pt>
                <c:pt idx="365">
                  <c:v>1350.693693599771</c:v>
                </c:pt>
                <c:pt idx="366">
                  <c:v>1354.0055500862552</c:v>
                </c:pt>
                <c:pt idx="367">
                  <c:v>1357.3129463617308</c:v>
                </c:pt>
                <c:pt idx="368">
                  <c:v>1360.6158929197045</c:v>
                </c:pt>
                <c:pt idx="369">
                  <c:v>1363.9144002110684</c:v>
                </c:pt>
                <c:pt idx="370">
                  <c:v>1367.2084786443331</c:v>
                </c:pt>
                <c:pt idx="371">
                  <c:v>1370.4981385858584</c:v>
                </c:pt>
                <c:pt idx="372">
                  <c:v>1373.7833903600817</c:v>
                </c:pt>
                <c:pt idx="373">
                  <c:v>1377.0642442497469</c:v>
                </c:pt>
                <c:pt idx="374">
                  <c:v>1380.3407104961293</c:v>
                </c:pt>
                <c:pt idx="375">
                  <c:v>1383.612799299261</c:v>
                </c:pt>
                <c:pt idx="376">
                  <c:v>1386.8805208181534</c:v>
                </c:pt>
                <c:pt idx="377">
                  <c:v>1390.1438851710191</c:v>
                </c:pt>
                <c:pt idx="378">
                  <c:v>1393.4029024354913</c:v>
                </c:pt>
                <c:pt idx="379">
                  <c:v>1396.6575826488429</c:v>
                </c:pt>
                <c:pt idx="380">
                  <c:v>1399.9079358082033</c:v>
                </c:pt>
                <c:pt idx="381">
                  <c:v>1403.1539718707736</c:v>
                </c:pt>
                <c:pt idx="382">
                  <c:v>1406.3957007540409</c:v>
                </c:pt>
                <c:pt idx="383">
                  <c:v>1409.6331323359914</c:v>
                </c:pt>
                <c:pt idx="384">
                  <c:v>1412.8662764553208</c:v>
                </c:pt>
                <c:pt idx="385">
                  <c:v>1416.0951429116442</c:v>
                </c:pt>
                <c:pt idx="386">
                  <c:v>1419.3197414657052</c:v>
                </c:pt>
                <c:pt idx="387">
                  <c:v>1422.5400818395822</c:v>
                </c:pt>
                <c:pt idx="388">
                  <c:v>1425.7561737168937</c:v>
                </c:pt>
                <c:pt idx="389">
                  <c:v>1428.9680267430035</c:v>
                </c:pt>
                <c:pt idx="390">
                  <c:v>1432.1756505252224</c:v>
                </c:pt>
                <c:pt idx="391">
                  <c:v>1435.3790546330106</c:v>
                </c:pt>
                <c:pt idx="392">
                  <c:v>1438.578248598177</c:v>
                </c:pt>
                <c:pt idx="393">
                  <c:v>1441.7732419150786</c:v>
                </c:pt>
                <c:pt idx="394">
                  <c:v>1444.9640440408177</c:v>
                </c:pt>
                <c:pt idx="395">
                  <c:v>1448.1506643954383</c:v>
                </c:pt>
                <c:pt idx="396">
                  <c:v>1451.3331123621206</c:v>
                </c:pt>
                <c:pt idx="397">
                  <c:v>1454.5113972873746</c:v>
                </c:pt>
                <c:pt idx="398">
                  <c:v>1457.6855284812327</c:v>
                </c:pt>
                <c:pt idx="399">
                  <c:v>1460.8555152174406</c:v>
                </c:pt>
                <c:pt idx="400">
                  <c:v>1464.0213667336468</c:v>
                </c:pt>
                <c:pt idx="401">
                  <c:v>1495.45315752755</c:v>
                </c:pt>
                <c:pt idx="402">
                  <c:v>1526.4773408599779</c:v>
                </c:pt>
                <c:pt idx="403">
                  <c:v>1557.1028143335948</c:v>
                </c:pt>
                <c:pt idx="404">
                  <c:v>1587.3381388050127</c:v>
                </c:pt>
                <c:pt idx="405">
                  <c:v>1617.1915553144117</c:v>
                </c:pt>
                <c:pt idx="406">
                  <c:v>1646.6710009525584</c:v>
                </c:pt>
                <c:pt idx="407">
                  <c:v>1675.7841237447863</c:v>
                </c:pt>
                <c:pt idx="408">
                  <c:v>1704.5382966246084</c:v>
                </c:pt>
                <c:pt idx="409">
                  <c:v>1732.9406305634075</c:v>
                </c:pt>
                <c:pt idx="410">
                  <c:v>1760.9979869170302</c:v>
                </c:pt>
                <c:pt idx="411">
                  <c:v>1788.7169890450368</c:v>
                </c:pt>
                <c:pt idx="412">
                  <c:v>1816.1040332537536</c:v>
                </c:pt>
                <c:pt idx="413">
                  <c:v>1843.1652991101125</c:v>
                </c:pt>
                <c:pt idx="414">
                  <c:v>1869.9067591694729</c:v>
                </c:pt>
                <c:pt idx="415">
                  <c:v>1896.334188157188</c:v>
                </c:pt>
                <c:pt idx="416">
                  <c:v>1922.4531716405481</c:v>
                </c:pt>
                <c:pt idx="417">
                  <c:v>1948.269114224885</c:v>
                </c:pt>
                <c:pt idx="418">
                  <c:v>1973.7872473050249</c:v>
                </c:pt>
                <c:pt idx="419">
                  <c:v>1999.0126364009052</c:v>
                </c:pt>
                <c:pt idx="420">
                  <c:v>2023.9501881040073</c:v>
                </c:pt>
                <c:pt idx="421">
                  <c:v>2048.604656659274</c:v>
                </c:pt>
                <c:pt idx="422">
                  <c:v>2072.9806502053639</c:v>
                </c:pt>
                <c:pt idx="423">
                  <c:v>2097.0826366944393</c:v>
                </c:pt>
                <c:pt idx="424">
                  <c:v>2120.9149495111496</c:v>
                </c:pt>
                <c:pt idx="425">
                  <c:v>2144.4817928090802</c:v>
                </c:pt>
                <c:pt idx="426">
                  <c:v>2167.7872465816413</c:v>
                </c:pt>
                <c:pt idx="427">
                  <c:v>2190.8352714831963</c:v>
                </c:pt>
                <c:pt idx="428">
                  <c:v>2213.6297134151255</c:v>
                </c:pt>
                <c:pt idx="429">
                  <c:v>2236.1743078905306</c:v>
                </c:pt>
                <c:pt idx="430">
                  <c:v>2258.4726841903484</c:v>
                </c:pt>
                <c:pt idx="431">
                  <c:v>2280.5283693227893</c:v>
                </c:pt>
                <c:pt idx="432">
                  <c:v>2302.3447917972248</c:v>
                </c:pt>
                <c:pt idx="433">
                  <c:v>2323.9252852229206</c:v>
                </c:pt>
                <c:pt idx="434">
                  <c:v>2345.2730917423305</c:v>
                </c:pt>
                <c:pt idx="435">
                  <c:v>2366.3913653080454</c:v>
                </c:pt>
                <c:pt idx="436">
                  <c:v>2387.2831748119015</c:v>
                </c:pt>
                <c:pt idx="437">
                  <c:v>2407.9515070742295</c:v>
                </c:pt>
                <c:pt idx="438">
                  <c:v>2428.3992697007084</c:v>
                </c:pt>
                <c:pt idx="439">
                  <c:v>2448.6292938138395</c:v>
                </c:pt>
                <c:pt idx="440">
                  <c:v>2468.6443366656113</c:v>
                </c:pt>
                <c:pt idx="441">
                  <c:v>2488.4470841375382</c:v>
                </c:pt>
                <c:pt idx="442">
                  <c:v>2508.0401531338707</c:v>
                </c:pt>
                <c:pt idx="443">
                  <c:v>2527.4260938734333</c:v>
                </c:pt>
                <c:pt idx="444">
                  <c:v>2546.6073920852223</c:v>
                </c:pt>
                <c:pt idx="445">
                  <c:v>2565.5864711125937</c:v>
                </c:pt>
                <c:pt idx="446">
                  <c:v>2584.3656939305843</c:v>
                </c:pt>
                <c:pt idx="447">
                  <c:v>2602.9473650806526</c:v>
                </c:pt>
                <c:pt idx="448">
                  <c:v>2621.3337325268794</c:v>
                </c:pt>
                <c:pt idx="449">
                  <c:v>2639.5269894374314</c:v>
                </c:pt>
                <c:pt idx="450">
                  <c:v>2657.5292758948881</c:v>
                </c:pt>
                <c:pt idx="451">
                  <c:v>2675.3426805388153</c:v>
                </c:pt>
                <c:pt idx="452">
                  <c:v>2692.9692421438008</c:v>
                </c:pt>
                <c:pt idx="453">
                  <c:v>2710.4109511359666</c:v>
                </c:pt>
                <c:pt idx="454">
                  <c:v>2727.6697510508325</c:v>
                </c:pt>
                <c:pt idx="455">
                  <c:v>2744.7475399352288</c:v>
                </c:pt>
                <c:pt idx="456">
                  <c:v>2761.6461716958238</c:v>
                </c:pt>
                <c:pt idx="457">
                  <c:v>2778.3674573966905</c:v>
                </c:pt>
                <c:pt idx="458">
                  <c:v>2794.9131665082105</c:v>
                </c:pt>
                <c:pt idx="459">
                  <c:v>2811.2850281094861</c:v>
                </c:pt>
                <c:pt idx="460">
                  <c:v>2827.4847320463305</c:v>
                </c:pt>
                <c:pt idx="461">
                  <c:v>2843.5139300467845</c:v>
                </c:pt>
                <c:pt idx="462">
                  <c:v>2859.3742367960222</c:v>
                </c:pt>
                <c:pt idx="463">
                  <c:v>2875.0672309723996</c:v>
                </c:pt>
                <c:pt idx="464">
                  <c:v>2890.5944562463246</c:v>
                </c:pt>
                <c:pt idx="465">
                  <c:v>2905.9574222435322</c:v>
                </c:pt>
                <c:pt idx="466">
                  <c:v>2921.1576054742732</c:v>
                </c:pt>
                <c:pt idx="467">
                  <c:v>2936.1964502298565</c:v>
                </c:pt>
                <c:pt idx="468">
                  <c:v>2951.0753694479004</c:v>
                </c:pt>
                <c:pt idx="469">
                  <c:v>2965.7957455475948</c:v>
                </c:pt>
                <c:pt idx="470">
                  <c:v>2980.3589312362119</c:v>
                </c:pt>
                <c:pt idx="471">
                  <c:v>2994.7662502880307</c:v>
                </c:pt>
                <c:pt idx="472">
                  <c:v>3009.0189982968063</c:v>
                </c:pt>
                <c:pt idx="473">
                  <c:v>3023.1184434028391</c:v>
                </c:pt>
                <c:pt idx="474">
                  <c:v>3037.0658269956675</c:v>
                </c:pt>
                <c:pt idx="475">
                  <c:v>3050.8623643933479</c:v>
                </c:pt>
                <c:pt idx="476">
                  <c:v>3064.5092454992459</c:v>
                </c:pt>
                <c:pt idx="477">
                  <c:v>3078.0076354372222</c:v>
                </c:pt>
                <c:pt idx="478">
                  <c:v>3091.3586751660482</c:v>
                </c:pt>
                <c:pt idx="479">
                  <c:v>3104.5634820738587</c:v>
                </c:pt>
                <c:pt idx="480">
                  <c:v>3117.6231505534038</c:v>
                </c:pt>
                <c:pt idx="481">
                  <c:v>3130.5387525588335</c:v>
                </c:pt>
                <c:pt idx="482">
                  <c:v>3143.3113381447124</c:v>
                </c:pt>
                <c:pt idx="483">
                  <c:v>3155.9419359879312</c:v>
                </c:pt>
                <c:pt idx="484">
                  <c:v>3168.4315538931578</c:v>
                </c:pt>
                <c:pt idx="485">
                  <c:v>3180.7811792824318</c:v>
                </c:pt>
                <c:pt idx="486">
                  <c:v>3192.9917796694922</c:v>
                </c:pt>
                <c:pt idx="487">
                  <c:v>3205.0643031193918</c:v>
                </c:pt>
                <c:pt idx="488">
                  <c:v>3216.9996786939378</c:v>
                </c:pt>
                <c:pt idx="489">
                  <c:v>3228.7988168834659</c:v>
                </c:pt>
                <c:pt idx="490">
                  <c:v>3240.46261002544</c:v>
                </c:pt>
                <c:pt idx="491">
                  <c:v>3251.9919327103476</c:v>
                </c:pt>
                <c:pt idx="492">
                  <c:v>3263.3876421753375</c:v>
                </c:pt>
                <c:pt idx="493">
                  <c:v>3274.6505786860353</c:v>
                </c:pt>
                <c:pt idx="494">
                  <c:v>3285.7815659069456</c:v>
                </c:pt>
                <c:pt idx="495">
                  <c:v>3296.7814112608394</c:v>
                </c:pt>
                <c:pt idx="496">
                  <c:v>3307.6509062775044</c:v>
                </c:pt>
                <c:pt idx="497">
                  <c:v>3318.3908269322264</c:v>
                </c:pt>
                <c:pt idx="498">
                  <c:v>3329.001933974348</c:v>
                </c:pt>
                <c:pt idx="499">
                  <c:v>3339.4849732462412</c:v>
                </c:pt>
                <c:pt idx="500">
                  <c:v>3349.8406759930162</c:v>
                </c:pt>
                <c:pt idx="501">
                  <c:v>3360.0697591632779</c:v>
                </c:pt>
                <c:pt idx="502">
                  <c:v>3370.1729257012239</c:v>
                </c:pt>
                <c:pt idx="503">
                  <c:v>3380.150864830372</c:v>
                </c:pt>
                <c:pt idx="504">
                  <c:v>3390.0042523291913</c:v>
                </c:pt>
                <c:pt idx="505">
                  <c:v>3399.7337507988991</c:v>
                </c:pt>
                <c:pt idx="506">
                  <c:v>3409.3400099236815</c:v>
                </c:pt>
                <c:pt idx="507">
                  <c:v>3418.8236667235751</c:v>
                </c:pt>
                <c:pt idx="508">
                  <c:v>3428.185345800252</c:v>
                </c:pt>
                <c:pt idx="509">
                  <c:v>3437.4256595759284</c:v>
                </c:pt>
                <c:pt idx="510">
                  <c:v>3446.545208525617</c:v>
                </c:pt>
                <c:pt idx="511">
                  <c:v>3455.5445814029304</c:v>
                </c:pt>
                <c:pt idx="512">
                  <c:v>3464.4243554596401</c:v>
                </c:pt>
                <c:pt idx="513">
                  <c:v>3473.1850966591815</c:v>
                </c:pt>
                <c:pt idx="514">
                  <c:v>3481.8273598842966</c:v>
                </c:pt>
                <c:pt idx="515">
                  <c:v>3490.35168913899</c:v>
                </c:pt>
                <c:pt idx="516">
                  <c:v>3498.7586177449753</c:v>
                </c:pt>
                <c:pt idx="517">
                  <c:v>3507.0486685327783</c:v>
                </c:pt>
                <c:pt idx="518">
                  <c:v>3515.2223540276586</c:v>
                </c:pt>
                <c:pt idx="519">
                  <c:v>3523.2801766305083</c:v>
                </c:pt>
                <c:pt idx="520">
                  <c:v>3531.2226287938724</c:v>
                </c:pt>
                <c:pt idx="521">
                  <c:v>3539.0501931932458</c:v>
                </c:pt>
                <c:pt idx="522">
                  <c:v>3546.7633428937779</c:v>
                </c:pt>
                <c:pt idx="523">
                  <c:v>3554.362541512528</c:v>
                </c:pt>
                <c:pt idx="524">
                  <c:v>3561.8482433763988</c:v>
                </c:pt>
                <c:pt idx="525">
                  <c:v>3569.2208936758784</c:v>
                </c:pt>
                <c:pt idx="526">
                  <c:v>3576.480928614712</c:v>
                </c:pt>
                <c:pt idx="527">
                  <c:v>3583.6287755556227</c:v>
                </c:pt>
                <c:pt idx="528">
                  <c:v>3590.6648531621991</c:v>
                </c:pt>
                <c:pt idx="529">
                  <c:v>3597.5895715370593</c:v>
                </c:pt>
                <c:pt idx="530">
                  <c:v>3604.4033323564036</c:v>
                </c:pt>
                <c:pt idx="531">
                  <c:v>3611.1065290010588</c:v>
                </c:pt>
                <c:pt idx="532">
                  <c:v>3617.6995466841204</c:v>
                </c:pt>
                <c:pt idx="533">
                  <c:v>3624.1827625752908</c:v>
                </c:pt>
                <c:pt idx="534">
                  <c:v>3630.556545922012</c:v>
                </c:pt>
                <c:pt idx="535">
                  <c:v>3636.8212581674893</c:v>
                </c:pt>
                <c:pt idx="536">
                  <c:v>3642.9772530657006</c:v>
                </c:pt>
                <c:pt idx="537">
                  <c:v>3649.0248767934795</c:v>
                </c:pt>
                <c:pt idx="538">
                  <c:v>3654.9644680597667</c:v>
                </c:pt>
                <c:pt idx="539">
                  <c:v>3660.7963582121151</c:v>
                </c:pt>
                <c:pt idx="540">
                  <c:v>3666.5208713405377</c:v>
                </c:pt>
                <c:pt idx="541">
                  <c:v>3672.1383243787832</c:v>
                </c:pt>
                <c:pt idx="542">
                  <c:v>3677.6490272031265</c:v>
                </c:pt>
                <c:pt idx="543">
                  <c:v>3683.0532827287584</c:v>
                </c:pt>
                <c:pt idx="544">
                  <c:v>3688.3513870038605</c:v>
                </c:pt>
                <c:pt idx="545">
                  <c:v>3693.5436293014454</c:v>
                </c:pt>
                <c:pt idx="546">
                  <c:v>3698.6302922090554</c:v>
                </c:pt>
                <c:pt idx="547">
                  <c:v>3703.6116517163987</c:v>
                </c:pt>
                <c:pt idx="548">
                  <c:v>3708.4879773010152</c:v>
                </c:pt>
                <c:pt idx="549">
                  <c:v>3713.2595320120549</c:v>
                </c:pt>
                <c:pt idx="550">
                  <c:v>3717.9265725522664</c:v>
                </c:pt>
                <c:pt idx="551">
                  <c:v>3722.4893493582827</c:v>
                </c:pt>
                <c:pt idx="552">
                  <c:v>3726.9481066793032</c:v>
                </c:pt>
                <c:pt idx="553">
                  <c:v>3731.3030826542708</c:v>
                </c:pt>
                <c:pt idx="554">
                  <c:v>3735.5545093876462</c:v>
                </c:pt>
                <c:pt idx="555">
                  <c:v>3739.7026130238905</c:v>
                </c:pt>
                <c:pt idx="556">
                  <c:v>3743.7476138207703</c:v>
                </c:pt>
                <c:pt idx="557">
                  <c:v>3747.6897262216025</c:v>
                </c:pt>
                <c:pt idx="558">
                  <c:v>3751.5291589265721</c:v>
                </c:pt>
                <c:pt idx="559">
                  <c:v>3755.2661149632563</c:v>
                </c:pt>
                <c:pt idx="560">
                  <c:v>3758.9007917565023</c:v>
                </c:pt>
                <c:pt idx="561">
                  <c:v>3762.433381197819</c:v>
                </c:pt>
                <c:pt idx="562">
                  <c:v>3765.8640697144488</c:v>
                </c:pt>
                <c:pt idx="563">
                  <c:v>3769.1930383383046</c:v>
                </c:pt>
                <c:pt idx="564">
                  <c:v>3772.4204627749741</c:v>
                </c:pt>
                <c:pt idx="565">
                  <c:v>3775.5465134730043</c:v>
                </c:pt>
                <c:pt idx="566">
                  <c:v>3778.5713556937039</c:v>
                </c:pt>
                <c:pt idx="567">
                  <c:v>3781.4951495817204</c:v>
                </c:pt>
                <c:pt idx="568">
                  <c:v>3784.3180502366736</c:v>
                </c:pt>
                <c:pt idx="569">
                  <c:v>3787.0402077861486</c:v>
                </c:pt>
                <c:pt idx="570">
                  <c:v>3789.661767460384</c:v>
                </c:pt>
                <c:pt idx="571">
                  <c:v>3792.1828696690177</c:v>
                </c:pt>
                <c:pt idx="572">
                  <c:v>3794.6036500802848</c:v>
                </c:pt>
                <c:pt idx="573">
                  <c:v>3796.9242397030962</c:v>
                </c:pt>
                <c:pt idx="574">
                  <c:v>3799.1447649724632</c:v>
                </c:pt>
                <c:pt idx="575">
                  <c:v>3801.2653478387629</c:v>
                </c:pt>
                <c:pt idx="576">
                  <c:v>3803.2861058613817</c:v>
                </c:pt>
                <c:pt idx="577">
                  <c:v>3805.2071523073091</c:v>
                </c:pt>
                <c:pt idx="578">
                  <c:v>3807.0285962552775</c:v>
                </c:pt>
                <c:pt idx="579">
                  <c:v>3808.7505427060837</c:v>
                </c:pt>
                <c:pt idx="580">
                  <c:v>3810.3730926997437</c:v>
                </c:pt>
                <c:pt idx="581">
                  <c:v>3811.8963434401458</c:v>
                </c:pt>
                <c:pt idx="582">
                  <c:v>3813.3203884278728</c:v>
                </c:pt>
                <c:pt idx="583">
                  <c:v>3814.6453176018513</c:v>
                </c:pt>
                <c:pt idx="584">
                  <c:v>3815.8712174904558</c:v>
                </c:pt>
                <c:pt idx="585">
                  <c:v>3816.9981713726424</c:v>
                </c:pt>
                <c:pt idx="586">
                  <c:v>3818.026259449618</c:v>
                </c:pt>
                <c:pt idx="587">
                  <c:v>3818.9555590274394</c:v>
                </c:pt>
                <c:pt idx="588">
                  <c:v>3819.7861447108121</c:v>
                </c:pt>
                <c:pt idx="589">
                  <c:v>3820.5180886081921</c:v>
                </c:pt>
                <c:pt idx="590">
                  <c:v>3821.1514605481052</c:v>
                </c:pt>
                <c:pt idx="591">
                  <c:v>3821.6863283063781</c:v>
                </c:pt>
                <c:pt idx="592">
                  <c:v>3822.1227578437379</c:v>
                </c:pt>
                <c:pt idx="593">
                  <c:v>3822.4608135529875</c:v>
                </c:pt>
                <c:pt idx="594">
                  <c:v>3822.7005585147017</c:v>
                </c:pt>
                <c:pt idx="595">
                  <c:v>3822.8420547601486</c:v>
                </c:pt>
                <c:pt idx="596">
                  <c:v>3822.885363539905</c:v>
                </c:pt>
                <c:pt idx="597">
                  <c:v>3822.8305455964492</c:v>
                </c:pt>
                <c:pt idx="598">
                  <c:v>3822.6776614388555</c:v>
                </c:pt>
                <c:pt idx="599">
                  <c:v>3822.4267716176273</c:v>
                </c:pt>
                <c:pt idx="600">
                  <c:v>3822.0779369976667</c:v>
                </c:pt>
                <c:pt idx="601">
                  <c:v>3821.6312190274039</c:v>
                </c:pt>
                <c:pt idx="602">
                  <c:v>3821.0866800022063</c:v>
                </c:pt>
                <c:pt idx="603">
                  <c:v>3820.4443833203213</c:v>
                </c:pt>
                <c:pt idx="604">
                  <c:v>3819.7043937298045</c:v>
                </c:pt>
                <c:pt idx="605">
                  <c:v>3818.8667775651056</c:v>
                </c:pt>
                <c:pt idx="606">
                  <c:v>3817.9316029722368</c:v>
                </c:pt>
                <c:pt idx="607">
                  <c:v>3816.8989401216963</c:v>
                </c:pt>
                <c:pt idx="608">
                  <c:v>3815.7688614085823</c:v>
                </c:pt>
                <c:pt idx="609">
                  <c:v>3814.5414416395711</c:v>
                </c:pt>
                <c:pt idx="610">
                  <c:v>3813.21675820665</c:v>
                </c:pt>
                <c:pt idx="611">
                  <c:v>3811.7948912477009</c:v>
                </c:pt>
                <c:pt idx="612">
                  <c:v>3810.2759237941832</c:v>
                </c:pt>
                <c:pt idx="613">
                  <c:v>3808.65994190631</c:v>
                </c:pt>
                <c:pt idx="614">
                  <c:v>3806.9470347962115</c:v>
                </c:pt>
                <c:pt idx="615">
                  <c:v>3805.13729493966</c:v>
                </c:pt>
                <c:pt idx="616">
                  <c:v>3803.2308181769818</c:v>
                </c:pt>
                <c:pt idx="617">
                  <c:v>3801.2277038038083</c:v>
                </c:pt>
                <c:pt idx="618">
                  <c:v>3799.1280546523394</c:v>
                </c:pt>
                <c:pt idx="619">
                  <c:v>3796.9319771637806</c:v>
                </c:pt>
                <c:pt idx="620">
                  <c:v>3794.639581452604</c:v>
                </c:pt>
                <c:pt idx="621">
                  <c:v>3792.2509813632614</c:v>
                </c:pt>
                <c:pt idx="622">
                  <c:v>3789.7662945199472</c:v>
                </c:pt>
                <c:pt idx="623">
                  <c:v>3787.185642369971</c:v>
                </c:pt>
                <c:pt idx="624">
                  <c:v>3784.5091502212717</c:v>
                </c:pt>
                <c:pt idx="625">
                  <c:v>3781.736947274559</c:v>
                </c:pt>
                <c:pt idx="626">
                  <c:v>3778.8691666505351</c:v>
                </c:pt>
                <c:pt idx="627">
                  <c:v>3775.9059454126145</c:v>
                </c:pt>
                <c:pt idx="628">
                  <c:v>3772.8474245855214</c:v>
                </c:pt>
                <c:pt idx="629">
                  <c:v>3769.6937491701087</c:v>
                </c:pt>
                <c:pt idx="630">
                  <c:v>3766.4450681547232</c:v>
                </c:pt>
                <c:pt idx="631">
                  <c:v>3763.1015345233927</c:v>
                </c:pt>
                <c:pt idx="632">
                  <c:v>3759.6633052611051</c:v>
                </c:pt>
                <c:pt idx="633">
                  <c:v>3756.1305413564082</c:v>
                </c:pt>
                <c:pt idx="634">
                  <c:v>3752.5034078015478</c:v>
                </c:pt>
                <c:pt idx="635">
                  <c:v>3748.782073590331</c:v>
                </c:pt>
                <c:pt idx="636">
                  <c:v>3744.9667117138952</c:v>
                </c:pt>
                <c:pt idx="637">
                  <c:v>3741.0574991545313</c:v>
                </c:pt>
                <c:pt idx="638">
                  <c:v>3737.0546168777109</c:v>
                </c:pt>
                <c:pt idx="639">
                  <c:v>3732.9582498224386</c:v>
                </c:pt>
                <c:pt idx="640">
                  <c:v>3728.7685868900494</c:v>
                </c:pt>
                <c:pt idx="641">
                  <c:v>3724.4858209315544</c:v>
                </c:pt>
                <c:pt idx="642">
                  <c:v>3720.1101487336264</c:v>
                </c:pt>
                <c:pt idx="643">
                  <c:v>3715.641771003317</c:v>
                </c:pt>
                <c:pt idx="644">
                  <c:v>3711.0808923515774</c:v>
                </c:pt>
                <c:pt idx="645">
                  <c:v>3706.4277212756547</c:v>
                </c:pt>
                <c:pt idx="646">
                  <c:v>3701.6824701404321</c:v>
                </c:pt>
                <c:pt idx="647">
                  <c:v>3696.8453551587645</c:v>
                </c:pt>
                <c:pt idx="648">
                  <c:v>3691.9165963708679</c:v>
                </c:pt>
                <c:pt idx="649">
                  <c:v>3686.8964176228096</c:v>
                </c:pt>
                <c:pt idx="650">
                  <c:v>3681.7850465441452</c:v>
                </c:pt>
                <c:pt idx="651">
                  <c:v>3676.582714524739</c:v>
                </c:pt>
                <c:pt idx="652">
                  <c:v>3671.2896566908121</c:v>
                </c:pt>
                <c:pt idx="653">
                  <c:v>3665.9061118802488</c:v>
                </c:pt>
                <c:pt idx="654">
                  <c:v>3660.4323226171919</c:v>
                </c:pt>
                <c:pt idx="655">
                  <c:v>3654.8685350859619</c:v>
                </c:pt>
                <c:pt idx="656">
                  <c:v>3649.2149991043225</c:v>
                </c:pt>
                <c:pt idx="657">
                  <c:v>3643.4719680961225</c:v>
                </c:pt>
                <c:pt idx="658">
                  <c:v>3637.639699063333</c:v>
                </c:pt>
                <c:pt idx="659">
                  <c:v>3631.7184525575085</c:v>
                </c:pt>
                <c:pt idx="660">
                  <c:v>3625.7084926506873</c:v>
                </c:pt>
                <c:pt idx="661">
                  <c:v>3619.6100869057555</c:v>
                </c:pt>
                <c:pt idx="662">
                  <c:v>3613.4235063462893</c:v>
                </c:pt>
                <c:pt idx="663">
                  <c:v>3607.1490254258988</c:v>
                </c:pt>
                <c:pt idx="664">
                  <c:v>3600.7869219970826</c:v>
                </c:pt>
                <c:pt idx="665">
                  <c:v>3594.3374772796174</c:v>
                </c:pt>
                <c:pt idx="666">
                  <c:v>3587.8009758284916</c:v>
                </c:pt>
                <c:pt idx="667">
                  <c:v>3581.1777055014009</c:v>
                </c:pt>
                <c:pt idx="668">
                  <c:v>3574.4679574258184</c:v>
                </c:pt>
                <c:pt idx="669">
                  <c:v>3567.672025965654</c:v>
                </c:pt>
                <c:pt idx="670">
                  <c:v>3560.7902086875147</c:v>
                </c:pt>
                <c:pt idx="671">
                  <c:v>3553.8228063265801</c:v>
                </c:pt>
                <c:pt idx="672">
                  <c:v>3546.7701227521038</c:v>
                </c:pt>
                <c:pt idx="673">
                  <c:v>3539.6324649325525</c:v>
                </c:pt>
                <c:pt idx="674">
                  <c:v>3532.4101429003963</c:v>
                </c:pt>
                <c:pt idx="675">
                  <c:v>3525.1034697165587</c:v>
                </c:pt>
                <c:pt idx="676">
                  <c:v>3517.7127614345395</c:v>
                </c:pt>
                <c:pt idx="677">
                  <c:v>3510.2383370642206</c:v>
                </c:pt>
                <c:pt idx="678">
                  <c:v>3502.6805185353637</c:v>
                </c:pt>
                <c:pt idx="679">
                  <c:v>3495.0396306608131</c:v>
                </c:pt>
                <c:pt idx="680">
                  <c:v>3487.316001099412</c:v>
                </c:pt>
                <c:pt idx="681">
                  <c:v>3479.5099603186409</c:v>
                </c:pt>
                <c:pt idx="682">
                  <c:v>3471.621841556992</c:v>
                </c:pt>
                <c:pt idx="683">
                  <c:v>3463.651980786085</c:v>
                </c:pt>
                <c:pt idx="684">
                  <c:v>3455.6007166725358</c:v>
                </c:pt>
                <c:pt idx="685">
                  <c:v>3447.4683905395877</c:v>
                </c:pt>
                <c:pt idx="686">
                  <c:v>3439.2553463285144</c:v>
                </c:pt>
                <c:pt idx="687">
                  <c:v>3430.9619305598035</c:v>
                </c:pt>
                <c:pt idx="688">
                  <c:v>3422.5884922941291</c:v>
                </c:pt>
                <c:pt idx="689">
                  <c:v>3414.1353830931253</c:v>
                </c:pt>
                <c:pt idx="690">
                  <c:v>3405.6029569799653</c:v>
                </c:pt>
                <c:pt idx="691">
                  <c:v>3396.9915703997594</c:v>
                </c:pt>
                <c:pt idx="692">
                  <c:v>3388.3015821797767</c:v>
                </c:pt>
                <c:pt idx="693">
                  <c:v>3379.533353489504</c:v>
                </c:pt>
                <c:pt idx="694">
                  <c:v>3370.6872478005453</c:v>
                </c:pt>
                <c:pt idx="695">
                  <c:v>3361.7636308463743</c:v>
                </c:pt>
                <c:pt idx="696">
                  <c:v>3352.7628705819475</c:v>
                </c:pt>
                <c:pt idx="697">
                  <c:v>3343.6853371431871</c:v>
                </c:pt>
                <c:pt idx="698">
                  <c:v>3334.5314028063394</c:v>
                </c:pt>
                <c:pt idx="699">
                  <c:v>3325.3014419472211</c:v>
                </c:pt>
                <c:pt idx="700">
                  <c:v>3315.9958310003594</c:v>
                </c:pt>
                <c:pt idx="701">
                  <c:v>3306.6149484180346</c:v>
                </c:pt>
                <c:pt idx="702">
                  <c:v>3297.1591746292343</c:v>
                </c:pt>
                <c:pt idx="703">
                  <c:v>3287.6288919985268</c:v>
                </c:pt>
                <c:pt idx="704">
                  <c:v>3278.0244847848626</c:v>
                </c:pt>
                <c:pt idx="705">
                  <c:v>3268.3463391003102</c:v>
                </c:pt>
                <c:pt idx="706">
                  <c:v>3258.5948428687375</c:v>
                </c:pt>
                <c:pt idx="707">
                  <c:v>3248.7703857844449</c:v>
                </c:pt>
                <c:pt idx="708">
                  <c:v>3238.8733592707572</c:v>
                </c:pt>
                <c:pt idx="709">
                  <c:v>3228.9041564385843</c:v>
                </c:pt>
                <c:pt idx="710">
                  <c:v>3218.8631720449594</c:v>
                </c:pt>
                <c:pt idx="711">
                  <c:v>3208.7508024515578</c:v>
                </c:pt>
                <c:pt idx="712">
                  <c:v>3198.5674455832109</c:v>
                </c:pt>
                <c:pt idx="713">
                  <c:v>3188.3135008864165</c:v>
                </c:pt>
                <c:pt idx="714">
                  <c:v>3177.9893692878591</c:v>
                </c:pt>
                <c:pt idx="715">
                  <c:v>3167.5954531529433</c:v>
                </c:pt>
                <c:pt idx="716">
                  <c:v>3157.1321562443504</c:v>
                </c:pt>
                <c:pt idx="717">
                  <c:v>3146.5998836806257</c:v>
                </c:pt>
                <c:pt idx="718">
                  <c:v>3135.9990418948018</c:v>
                </c:pt>
                <c:pt idx="719">
                  <c:v>3125.3300385930702</c:v>
                </c:pt>
                <c:pt idx="720">
                  <c:v>3114.5932827135007</c:v>
                </c:pt>
                <c:pt idx="721">
                  <c:v>3103.7891843848265</c:v>
                </c:pt>
                <c:pt idx="722">
                  <c:v>3092.9181548852912</c:v>
                </c:pt>
                <c:pt idx="723">
                  <c:v>3081.9806066015735</c:v>
                </c:pt>
                <c:pt idx="724">
                  <c:v>3070.9769529877926</c:v>
                </c:pt>
                <c:pt idx="725">
                  <c:v>3059.9076085246024</c:v>
                </c:pt>
                <c:pt idx="726">
                  <c:v>3048.7729886783814</c:v>
                </c:pt>
                <c:pt idx="727">
                  <c:v>3037.5735098605246</c:v>
                </c:pt>
                <c:pt idx="728">
                  <c:v>3026.3095893868472</c:v>
                </c:pt>
                <c:pt idx="729">
                  <c:v>3014.9816454371016</c:v>
                </c:pt>
                <c:pt idx="730">
                  <c:v>3003.5900970146213</c:v>
                </c:pt>
                <c:pt idx="731">
                  <c:v>2992.1353639060908</c:v>
                </c:pt>
                <c:pt idx="732">
                  <c:v>2980.6178666414557</c:v>
                </c:pt>
                <c:pt idx="733">
                  <c:v>2969.0380264539731</c:v>
                </c:pt>
                <c:pt idx="734">
                  <c:v>2957.3962652404134</c:v>
                </c:pt>
                <c:pt idx="735">
                  <c:v>2945.693005521417</c:v>
                </c:pt>
                <c:pt idx="736">
                  <c:v>2933.9286704020137</c:v>
                </c:pt>
                <c:pt idx="737">
                  <c:v>2922.1036835323098</c:v>
                </c:pt>
                <c:pt idx="738">
                  <c:v>2910.2184690683512</c:v>
                </c:pt>
                <c:pt idx="739">
                  <c:v>2898.2734516331657</c:v>
                </c:pt>
                <c:pt idx="740">
                  <c:v>2886.2690562779931</c:v>
                </c:pt>
                <c:pt idx="741">
                  <c:v>2874.205708443707</c:v>
                </c:pt>
                <c:pt idx="742">
                  <c:v>2862.0838339224356</c:v>
                </c:pt>
                <c:pt idx="743">
                  <c:v>2849.9038588193862</c:v>
                </c:pt>
                <c:pt idx="744">
                  <c:v>2837.666209514879</c:v>
                </c:pt>
                <c:pt idx="745">
                  <c:v>2825.3713126265975</c:v>
                </c:pt>
                <c:pt idx="746">
                  <c:v>2813.0195949720578</c:v>
                </c:pt>
                <c:pt idx="747">
                  <c:v>2800.6114835313051</c:v>
                </c:pt>
                <c:pt idx="748">
                  <c:v>2788.1474054098412</c:v>
                </c:pt>
                <c:pt idx="749">
                  <c:v>2775.6277878017881</c:v>
                </c:pt>
                <c:pt idx="750">
                  <c:v>2763.0530579532947</c:v>
                </c:pt>
                <c:pt idx="751">
                  <c:v>2750.423643126187</c:v>
                </c:pt>
                <c:pt idx="752">
                  <c:v>2737.7399705618736</c:v>
                </c:pt>
                <c:pt idx="753">
                  <c:v>2725.0024674455035</c:v>
                </c:pt>
                <c:pt idx="754">
                  <c:v>2712.2115608703884</c:v>
                </c:pt>
                <c:pt idx="755">
                  <c:v>2699.3676778026879</c:v>
                </c:pt>
                <c:pt idx="756">
                  <c:v>2686.4712450463653</c:v>
                </c:pt>
                <c:pt idx="757">
                  <c:v>2673.5226892084183</c:v>
                </c:pt>
                <c:pt idx="758">
                  <c:v>2660.5224366643888</c:v>
                </c:pt>
                <c:pt idx="759">
                  <c:v>2647.4709135241537</c:v>
                </c:pt>
                <c:pt idx="760">
                  <c:v>2634.3685455980044</c:v>
                </c:pt>
                <c:pt idx="761">
                  <c:v>2621.2157583630164</c:v>
                </c:pt>
                <c:pt idx="762">
                  <c:v>2608.012976929715</c:v>
                </c:pt>
                <c:pt idx="763">
                  <c:v>2594.7606260090374</c:v>
                </c:pt>
                <c:pt idx="764">
                  <c:v>2581.459129879599</c:v>
                </c:pt>
                <c:pt idx="765">
                  <c:v>2568.1089123552642</c:v>
                </c:pt>
                <c:pt idx="766">
                  <c:v>2554.7103967530279</c:v>
                </c:pt>
                <c:pt idx="767">
                  <c:v>2541.2640058612096</c:v>
                </c:pt>
                <c:pt idx="768">
                  <c:v>2527.7701619079612</c:v>
                </c:pt>
                <c:pt idx="769">
                  <c:v>2514.2292865300969</c:v>
                </c:pt>
                <c:pt idx="770">
                  <c:v>2500.6418007422444</c:v>
                </c:pt>
                <c:pt idx="771">
                  <c:v>2487.0081249063201</c:v>
                </c:pt>
                <c:pt idx="772">
                  <c:v>2473.328678701333</c:v>
                </c:pt>
                <c:pt idx="773">
                  <c:v>2459.6038810935211</c:v>
                </c:pt>
                <c:pt idx="774">
                  <c:v>2445.8341503068182</c:v>
                </c:pt>
                <c:pt idx="775">
                  <c:v>2432.0199037936577</c:v>
                </c:pt>
                <c:pt idx="776">
                  <c:v>2418.1615582061163</c:v>
                </c:pt>
                <c:pt idx="777">
                  <c:v>2404.2595293673967</c:v>
                </c:pt>
                <c:pt idx="778">
                  <c:v>2390.3142322436538</c:v>
                </c:pt>
                <c:pt idx="779">
                  <c:v>2376.3260809161657</c:v>
                </c:pt>
                <c:pt idx="780">
                  <c:v>2362.2954885538516</c:v>
                </c:pt>
                <c:pt idx="781">
                  <c:v>2348.2228673861396</c:v>
                </c:pt>
                <c:pt idx="782">
                  <c:v>2334.1086286761843</c:v>
                </c:pt>
                <c:pt idx="783">
                  <c:v>2319.9531826944371</c:v>
                </c:pt>
                <c:pt idx="784">
                  <c:v>2305.7569386925716</c:v>
                </c:pt>
                <c:pt idx="785">
                  <c:v>2291.5203048777621</c:v>
                </c:pt>
                <c:pt idx="786">
                  <c:v>2277.2436883873224</c:v>
                </c:pt>
                <c:pt idx="787">
                  <c:v>2262.9274952637006</c:v>
                </c:pt>
                <c:pt idx="788">
                  <c:v>2248.5721304298336</c:v>
                </c:pt>
                <c:pt idx="789">
                  <c:v>2234.1779976648641</c:v>
                </c:pt>
                <c:pt idx="790">
                  <c:v>2219.7454995802159</c:v>
                </c:pt>
                <c:pt idx="791">
                  <c:v>2205.2750375960363</c:v>
                </c:pt>
                <c:pt idx="792">
                  <c:v>2190.7670119179966</c:v>
                </c:pt>
                <c:pt idx="793">
                  <c:v>2176.2218215144608</c:v>
                </c:pt>
                <c:pt idx="794">
                  <c:v>2161.6398640940183</c:v>
                </c:pt>
                <c:pt idx="795">
                  <c:v>2147.0215360833795</c:v>
                </c:pt>
                <c:pt idx="796">
                  <c:v>2132.3672326056399</c:v>
                </c:pt>
                <c:pt idx="797">
                  <c:v>2117.6773474589081</c:v>
                </c:pt>
                <c:pt idx="798">
                  <c:v>2102.9522730953017</c:v>
                </c:pt>
                <c:pt idx="799">
                  <c:v>2088.1924006003092</c:v>
                </c:pt>
                <c:pt idx="800">
                  <c:v>2073.3981196725172</c:v>
                </c:pt>
                <c:pt idx="801">
                  <c:v>2058.5698186037052</c:v>
                </c:pt>
                <c:pt idx="802">
                  <c:v>2043.7078842593069</c:v>
                </c:pt>
                <c:pt idx="803">
                  <c:v>2028.8127020592367</c:v>
                </c:pt>
                <c:pt idx="804">
                  <c:v>2013.8846559590836</c:v>
                </c:pt>
                <c:pt idx="805">
                  <c:v>1998.9241284316686</c:v>
                </c:pt>
                <c:pt idx="806">
                  <c:v>1983.9315004489688</c:v>
                </c:pt>
                <c:pt idx="807">
                  <c:v>1968.9071514644052</c:v>
                </c:pt>
                <c:pt idx="808">
                  <c:v>1953.8514593954947</c:v>
                </c:pt>
                <c:pt idx="809">
                  <c:v>1938.7648006068653</c:v>
                </c:pt>
                <c:pt idx="810">
                  <c:v>1923.6475498936334</c:v>
                </c:pt>
                <c:pt idx="811">
                  <c:v>1908.5000804651434</c:v>
                </c:pt>
                <c:pt idx="812">
                  <c:v>1893.3227639290667</c:v>
                </c:pt>
                <c:pt idx="813">
                  <c:v>1878.1159702758619</c:v>
                </c:pt>
                <c:pt idx="814">
                  <c:v>1862.8800678635916</c:v>
                </c:pt>
                <c:pt idx="815">
                  <c:v>1847.6154234030987</c:v>
                </c:pt>
                <c:pt idx="816">
                  <c:v>1832.3224019435374</c:v>
                </c:pt>
                <c:pt idx="817">
                  <c:v>1817.0013668582592</c:v>
                </c:pt>
                <c:pt idx="818">
                  <c:v>1801.6526798310529</c:v>
                </c:pt>
                <c:pt idx="819">
                  <c:v>1786.2767008427363</c:v>
                </c:pt>
                <c:pt idx="820">
                  <c:v>1770.8737881580983</c:v>
                </c:pt>
                <c:pt idx="821">
                  <c:v>1755.4442983131898</c:v>
                </c:pt>
                <c:pt idx="822">
                  <c:v>1739.9885861029632</c:v>
                </c:pt>
                <c:pt idx="823">
                  <c:v>1724.5070045692551</c:v>
                </c:pt>
                <c:pt idx="824">
                  <c:v>1708.9999049891153</c:v>
                </c:pt>
                <c:pt idx="825">
                  <c:v>1693.4676368634762</c:v>
                </c:pt>
                <c:pt idx="826">
                  <c:v>1677.9105479061632</c:v>
                </c:pt>
                <c:pt idx="827">
                  <c:v>1662.3289840332423</c:v>
                </c:pt>
                <c:pt idx="828">
                  <c:v>1646.7232893527053</c:v>
                </c:pt>
                <c:pt idx="829">
                  <c:v>1631.0938061544878</c:v>
                </c:pt>
                <c:pt idx="830">
                  <c:v>1615.4408749008201</c:v>
                </c:pt>
                <c:pt idx="831">
                  <c:v>1599.7648342169073</c:v>
                </c:pt>
                <c:pt idx="832">
                  <c:v>1584.0660208819377</c:v>
                </c:pt>
                <c:pt idx="833">
                  <c:v>1568.3447698204159</c:v>
                </c:pt>
                <c:pt idx="834">
                  <c:v>1552.6014140938198</c:v>
                </c:pt>
                <c:pt idx="835">
                  <c:v>1536.8362848925776</c:v>
                </c:pt>
                <c:pt idx="836">
                  <c:v>1521.0497115283633</c:v>
                </c:pt>
                <c:pt idx="837">
                  <c:v>1505.2420214267086</c:v>
                </c:pt>
                <c:pt idx="838">
                  <c:v>1489.4135401199269</c:v>
                </c:pt>
                <c:pt idx="839">
                  <c:v>1473.5645912403497</c:v>
                </c:pt>
                <c:pt idx="840">
                  <c:v>1457.6954965138707</c:v>
                </c:pt>
                <c:pt idx="841">
                  <c:v>1441.8065757537947</c:v>
                </c:pt>
                <c:pt idx="842">
                  <c:v>1425.8981468549907</c:v>
                </c:pt>
                <c:pt idx="843">
                  <c:v>1409.970525788345</c:v>
                </c:pt>
                <c:pt idx="844">
                  <c:v>1394.0240265955113</c:v>
                </c:pt>
                <c:pt idx="845">
                  <c:v>1378.0589613839566</c:v>
                </c:pt>
                <c:pt idx="846">
                  <c:v>1362.0756403222986</c:v>
                </c:pt>
                <c:pt idx="847">
                  <c:v>1346.0743716359325</c:v>
                </c:pt>
                <c:pt idx="848">
                  <c:v>1330.0554616029442</c:v>
                </c:pt>
                <c:pt idx="849">
                  <c:v>1314.019214550307</c:v>
                </c:pt>
                <c:pt idx="850">
                  <c:v>1297.965932850359</c:v>
                </c:pt>
                <c:pt idx="851">
                  <c:v>1281.895916917558</c:v>
                </c:pt>
                <c:pt idx="852">
                  <c:v>1265.809465205512</c:v>
                </c:pt>
                <c:pt idx="853">
                  <c:v>1249.7068742042798</c:v>
                </c:pt>
                <c:pt idx="854">
                  <c:v>1233.5884384379424</c:v>
                </c:pt>
                <c:pt idx="855">
                  <c:v>1217.4544504624389</c:v>
                </c:pt>
                <c:pt idx="856">
                  <c:v>1201.305200863665</c:v>
                </c:pt>
                <c:pt idx="857">
                  <c:v>1185.1409782558321</c:v>
                </c:pt>
                <c:pt idx="858">
                  <c:v>1168.9620692800822</c:v>
                </c:pt>
                <c:pt idx="859">
                  <c:v>1152.7687586033569</c:v>
                </c:pt>
                <c:pt idx="860">
                  <c:v>1136.5613289175164</c:v>
                </c:pt>
                <c:pt idx="861">
                  <c:v>1120.3400609387063</c:v>
                </c:pt>
                <c:pt idx="862">
                  <c:v>1104.1052334069673</c:v>
                </c:pt>
                <c:pt idx="863">
                  <c:v>1087.8571230860878</c:v>
                </c:pt>
                <c:pt idx="864">
                  <c:v>1071.5960047636929</c:v>
                </c:pt>
                <c:pt idx="865">
                  <c:v>1055.3221512515688</c:v>
                </c:pt>
                <c:pt idx="866">
                  <c:v>1039.0358333862187</c:v>
                </c:pt>
                <c:pt idx="867">
                  <c:v>1022.7373200296464</c:v>
                </c:pt>
                <c:pt idx="868">
                  <c:v>1006.4268780703667</c:v>
                </c:pt>
                <c:pt idx="869">
                  <c:v>990.10477242463571</c:v>
                </c:pt>
                <c:pt idx="870">
                  <c:v>973.77126603790157</c:v>
                </c:pt>
                <c:pt idx="871">
                  <c:v>957.42661988647012</c:v>
                </c:pt>
                <c:pt idx="872">
                  <c:v>941.07109297938314</c:v>
                </c:pt>
                <c:pt idx="873">
                  <c:v>924.70494236050592</c:v>
                </c:pt>
                <c:pt idx="874">
                  <c:v>908.32842311082072</c:v>
                </c:pt>
                <c:pt idx="875">
                  <c:v>891.94178835092305</c:v>
                </c:pt>
                <c:pt idx="876">
                  <c:v>875.54528924371789</c:v>
                </c:pt>
                <c:pt idx="877">
                  <c:v>859.1391749973119</c:v>
                </c:pt>
                <c:pt idx="878">
                  <c:v>842.72369286809942</c:v>
                </c:pt>
                <c:pt idx="879">
                  <c:v>826.29908816403827</c:v>
                </c:pt>
                <c:pt idx="880">
                  <c:v>809.8656042481125</c:v>
                </c:pt>
                <c:pt idx="881">
                  <c:v>793.42348254197918</c:v>
                </c:pt>
                <c:pt idx="882">
                  <c:v>776.97296252979504</c:v>
                </c:pt>
                <c:pt idx="883">
                  <c:v>760.51428176222169</c:v>
                </c:pt>
                <c:pt idx="884">
                  <c:v>744.04767586060404</c:v>
                </c:pt>
                <c:pt idx="885">
                  <c:v>727.57337852132059</c:v>
                </c:pt>
                <c:pt idx="886">
                  <c:v>711.09162152030137</c:v>
                </c:pt>
                <c:pt idx="887">
                  <c:v>694.60263471771111</c:v>
                </c:pt>
                <c:pt idx="888">
                  <c:v>678.10664606279386</c:v>
                </c:pt>
                <c:pt idx="889">
                  <c:v>661.60388159887657</c:v>
                </c:pt>
                <c:pt idx="890">
                  <c:v>645.09456546852857</c:v>
                </c:pt>
                <c:pt idx="891">
                  <c:v>628.578919918873</c:v>
                </c:pt>
                <c:pt idx="892">
                  <c:v>612.05716530704842</c:v>
                </c:pt>
                <c:pt idx="893">
                  <c:v>595.52952010581635</c:v>
                </c:pt>
                <c:pt idx="894">
                  <c:v>578.99620090931285</c:v>
                </c:pt>
                <c:pt idx="895">
                  <c:v>562.45742243894017</c:v>
                </c:pt>
                <c:pt idx="896">
                  <c:v>545.91339754939611</c:v>
                </c:pt>
                <c:pt idx="897">
                  <c:v>529.36433723483799</c:v>
                </c:pt>
                <c:pt idx="898">
                  <c:v>512.81045063517763</c:v>
                </c:pt>
                <c:pt idx="899">
                  <c:v>496.25194504250595</c:v>
                </c:pt>
                <c:pt idx="900">
                  <c:v>479.68902590764236</c:v>
                </c:pt>
                <c:pt idx="901">
                  <c:v>463.12189684680766</c:v>
                </c:pt>
                <c:pt idx="902">
                  <c:v>446.55075964841649</c:v>
                </c:pt>
                <c:pt idx="903">
                  <c:v>429.97581427998722</c:v>
                </c:pt>
                <c:pt idx="904">
                  <c:v>413.39725889516575</c:v>
                </c:pt>
                <c:pt idx="905">
                  <c:v>396.81528984086123</c:v>
                </c:pt>
                <c:pt idx="906">
                  <c:v>380.23010166449006</c:v>
                </c:pt>
                <c:pt idx="907">
                  <c:v>363.64188712132614</c:v>
                </c:pt>
                <c:pt idx="908">
                  <c:v>347.05083718195402</c:v>
                </c:pt>
                <c:pt idx="909">
                  <c:v>330.45714103982272</c:v>
                </c:pt>
                <c:pt idx="910">
                  <c:v>313.86098611889707</c:v>
                </c:pt>
                <c:pt idx="911">
                  <c:v>297.26255808140451</c:v>
                </c:pt>
                <c:pt idx="912">
                  <c:v>280.66204083567379</c:v>
                </c:pt>
                <c:pt idx="913">
                  <c:v>264.059616544064</c:v>
                </c:pt>
                <c:pt idx="914">
                  <c:v>247.45546563098048</c:v>
                </c:pt>
                <c:pt idx="915">
                  <c:v>230.84976679097537</c:v>
                </c:pt>
                <c:pt idx="916">
                  <c:v>214.24269699693036</c:v>
                </c:pt>
                <c:pt idx="917">
                  <c:v>197.6344315083189</c:v>
                </c:pt>
                <c:pt idx="918">
                  <c:v>181.02514387954545</c:v>
                </c:pt>
                <c:pt idx="919">
                  <c:v>164.41500596835928</c:v>
                </c:pt>
                <c:pt idx="920">
                  <c:v>147.80418794434044</c:v>
                </c:pt>
                <c:pt idx="921">
                  <c:v>131.19285829745533</c:v>
                </c:pt>
                <c:pt idx="922">
                  <c:v>114.58118384667965</c:v>
                </c:pt>
                <c:pt idx="923">
                  <c:v>97.969329748686206</c:v>
                </c:pt>
                <c:pt idx="924">
                  <c:v>81.357459506595305</c:v>
                </c:pt>
                <c:pt idx="925">
                  <c:v>64.745734978785379</c:v>
                </c:pt>
                <c:pt idx="926">
                  <c:v>48.134316387761601</c:v>
                </c:pt>
                <c:pt idx="927">
                  <c:v>31.523362329080197</c:v>
                </c:pt>
                <c:pt idx="928">
                  <c:v>14.913029780326177</c:v>
                </c:pt>
                <c:pt idx="929">
                  <c:v>-1.696525889857643</c:v>
                </c:pt>
                <c:pt idx="930">
                  <c:v>-1.7131350179433664</c:v>
                </c:pt>
                <c:pt idx="931">
                  <c:v>-1.7297441450218813</c:v>
                </c:pt>
                <c:pt idx="932">
                  <c:v>-1.7463532710930365</c:v>
                </c:pt>
                <c:pt idx="933">
                  <c:v>-1.7629623961566805</c:v>
                </c:pt>
                <c:pt idx="934">
                  <c:v>-1.7795715202126621</c:v>
                </c:pt>
                <c:pt idx="935">
                  <c:v>-1.79618064326083</c:v>
                </c:pt>
                <c:pt idx="936">
                  <c:v>-1.8127897653010332</c:v>
                </c:pt>
                <c:pt idx="937">
                  <c:v>-1.8293988863331203</c:v>
                </c:pt>
                <c:pt idx="938">
                  <c:v>-1.84600800635694</c:v>
                </c:pt>
                <c:pt idx="939">
                  <c:v>-1.8626171253723409</c:v>
                </c:pt>
                <c:pt idx="940">
                  <c:v>-1.879226243379172</c:v>
                </c:pt>
                <c:pt idx="941">
                  <c:v>-1.8958353603772817</c:v>
                </c:pt>
                <c:pt idx="942">
                  <c:v>-1.9124444763665192</c:v>
                </c:pt>
                <c:pt idx="943">
                  <c:v>-1.9290535913467328</c:v>
                </c:pt>
                <c:pt idx="944">
                  <c:v>-1.9456627053177715</c:v>
                </c:pt>
                <c:pt idx="945">
                  <c:v>-1.962271818279484</c:v>
                </c:pt>
                <c:pt idx="946">
                  <c:v>-1.9788809302317192</c:v>
                </c:pt>
                <c:pt idx="947">
                  <c:v>-1.9954900411743257</c:v>
                </c:pt>
                <c:pt idx="948">
                  <c:v>-2.0120991511071522</c:v>
                </c:pt>
                <c:pt idx="949">
                  <c:v>-2.0287082600300477</c:v>
                </c:pt>
                <c:pt idx="950">
                  <c:v>-2.0453173679428605</c:v>
                </c:pt>
                <c:pt idx="951">
                  <c:v>-2.06192647484544</c:v>
                </c:pt>
                <c:pt idx="952">
                  <c:v>-2.0785355807376344</c:v>
                </c:pt>
                <c:pt idx="953">
                  <c:v>-2.0951446856192928</c:v>
                </c:pt>
                <c:pt idx="954">
                  <c:v>-2.1117537894902636</c:v>
                </c:pt>
                <c:pt idx="955">
                  <c:v>-2.1283628923503959</c:v>
                </c:pt>
                <c:pt idx="956">
                  <c:v>-2.1449719941995382</c:v>
                </c:pt>
                <c:pt idx="957">
                  <c:v>-2.1615810950375396</c:v>
                </c:pt>
                <c:pt idx="958">
                  <c:v>-2.1781901948642486</c:v>
                </c:pt>
                <c:pt idx="959">
                  <c:v>-2.1947992936795142</c:v>
                </c:pt>
                <c:pt idx="960">
                  <c:v>-2.211408391483185</c:v>
                </c:pt>
                <c:pt idx="961">
                  <c:v>-2.22801748827511</c:v>
                </c:pt>
                <c:pt idx="962">
                  <c:v>-2.2446265840551378</c:v>
                </c:pt>
                <c:pt idx="963">
                  <c:v>-2.2612356788231169</c:v>
                </c:pt>
                <c:pt idx="964">
                  <c:v>-2.2778447725788964</c:v>
                </c:pt>
                <c:pt idx="965">
                  <c:v>-2.2944538653223252</c:v>
                </c:pt>
                <c:pt idx="966">
                  <c:v>-2.3110629570532519</c:v>
                </c:pt>
                <c:pt idx="967">
                  <c:v>-2.3276720477715256</c:v>
                </c:pt>
                <c:pt idx="968">
                  <c:v>-2.3442811374769947</c:v>
                </c:pt>
                <c:pt idx="969">
                  <c:v>-2.3608902261695079</c:v>
                </c:pt>
                <c:pt idx="970">
                  <c:v>-2.3774993138489142</c:v>
                </c:pt>
                <c:pt idx="971">
                  <c:v>-2.3941084005150626</c:v>
                </c:pt>
                <c:pt idx="972">
                  <c:v>-2.4107174861678016</c:v>
                </c:pt>
                <c:pt idx="973">
                  <c:v>-2.4273265708069798</c:v>
                </c:pt>
                <c:pt idx="974">
                  <c:v>-2.4439356544324462</c:v>
                </c:pt>
                <c:pt idx="975">
                  <c:v>-2.4605447370440499</c:v>
                </c:pt>
                <c:pt idx="976">
                  <c:v>-2.4771538186416393</c:v>
                </c:pt>
                <c:pt idx="977">
                  <c:v>-2.4937628992250636</c:v>
                </c:pt>
                <c:pt idx="978">
                  <c:v>-2.5103719787941712</c:v>
                </c:pt>
                <c:pt idx="979">
                  <c:v>-2.5269810573488107</c:v>
                </c:pt>
                <c:pt idx="980">
                  <c:v>-2.5435901348888317</c:v>
                </c:pt>
                <c:pt idx="981">
                  <c:v>-2.5601992114140826</c:v>
                </c:pt>
                <c:pt idx="982">
                  <c:v>-2.576808286924412</c:v>
                </c:pt>
                <c:pt idx="983">
                  <c:v>-2.5934173614196689</c:v>
                </c:pt>
                <c:pt idx="984">
                  <c:v>-2.610026434899702</c:v>
                </c:pt>
                <c:pt idx="985">
                  <c:v>-2.6266355073643601</c:v>
                </c:pt>
                <c:pt idx="986">
                  <c:v>-2.6432445788134924</c:v>
                </c:pt>
                <c:pt idx="987">
                  <c:v>-2.6598536492469473</c:v>
                </c:pt>
                <c:pt idx="988">
                  <c:v>-2.676462718664574</c:v>
                </c:pt>
                <c:pt idx="989">
                  <c:v>-2.6930717870662209</c:v>
                </c:pt>
                <c:pt idx="990">
                  <c:v>-2.709680854451737</c:v>
                </c:pt>
                <c:pt idx="991">
                  <c:v>-2.726289920820971</c:v>
                </c:pt>
                <c:pt idx="992">
                  <c:v>-2.7428989861737718</c:v>
                </c:pt>
                <c:pt idx="993">
                  <c:v>-2.7595080505099885</c:v>
                </c:pt>
                <c:pt idx="994">
                  <c:v>-2.7761171138294696</c:v>
                </c:pt>
                <c:pt idx="995">
                  <c:v>-2.7927261761320641</c:v>
                </c:pt>
                <c:pt idx="996">
                  <c:v>-2.8093352374176206</c:v>
                </c:pt>
                <c:pt idx="997">
                  <c:v>-2.8259442976859881</c:v>
                </c:pt>
                <c:pt idx="998">
                  <c:v>-2.8425533569370152</c:v>
                </c:pt>
                <c:pt idx="999">
                  <c:v>-2.8591624151705513</c:v>
                </c:pt>
                <c:pt idx="1000">
                  <c:v>-2.8757714723864445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1-4567-B7A1-067915120221}"/>
            </c:ext>
          </c:extLst>
        </c:ser>
        <c:ser>
          <c:idx val="2"/>
          <c:order val="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Trajecto!$B$131:$B$137</c:f>
              <c:numCache>
                <c:formatCode>0.0</c:formatCode>
                <c:ptCount val="7"/>
                <c:pt idx="0">
                  <c:v>25.2</c:v>
                </c:pt>
                <c:pt idx="1">
                  <c:v>122.89211489589074</c:v>
                </c:pt>
                <c:pt idx="2">
                  <c:v>220.5842297917815</c:v>
                </c:pt>
                <c:pt idx="3">
                  <c:v>218.23496402511657</c:v>
                </c:pt>
                <c:pt idx="4">
                  <c:v>220.5842297917815</c:v>
                </c:pt>
                <c:pt idx="5">
                  <c:v>212.14496402511654</c:v>
                </c:pt>
                <c:pt idx="6">
                  <c:v>220.5842297917815</c:v>
                </c:pt>
              </c:numCache>
            </c:numRef>
          </c:xVal>
          <c:yVal>
            <c:numRef>
              <c:f>Trajecto!$C$129:$C$135</c:f>
              <c:numCache>
                <c:formatCode>0</c:formatCode>
                <c:ptCount val="7"/>
                <c:pt idx="0">
                  <c:v>3794.6036500802848</c:v>
                </c:pt>
                <c:pt idx="1">
                  <c:v>1897.3018250401424</c:v>
                </c:pt>
                <c:pt idx="2">
                  <c:v>0</c:v>
                </c:pt>
                <c:pt idx="3">
                  <c:v>152.28568768890716</c:v>
                </c:pt>
                <c:pt idx="4">
                  <c:v>0</c:v>
                </c:pt>
                <c:pt idx="5">
                  <c:v>58.800192162662434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51-4567-B7A1-067915120221}"/>
            </c:ext>
          </c:extLst>
        </c:ser>
        <c:ser>
          <c:idx val="3"/>
          <c:order val="4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Trajecto!$B$148:$B$154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Trajecto!$C$146:$C$152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51-4567-B7A1-067915120221}"/>
            </c:ext>
          </c:extLst>
        </c:ser>
        <c:ser>
          <c:idx val="5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358.22</c:v>
                </c:pt>
                <c:pt idx="1">
                  <c:v>359.48699323120798</c:v>
                </c:pt>
                <c:pt idx="2">
                  <c:v>360.75517890128333</c:v>
                </c:pt>
                <c:pt idx="3">
                  <c:v>362.02720502605382</c:v>
                </c:pt>
                <c:pt idx="4">
                  <c:v>363.30571997979428</c:v>
                </c:pt>
                <c:pt idx="5">
                  <c:v>364.59337354548046</c:v>
                </c:pt>
                <c:pt idx="6">
                  <c:v>365.89214634546295</c:v>
                </c:pt>
                <c:pt idx="7">
                  <c:v>367.20267761929568</c:v>
                </c:pt>
                <c:pt idx="8">
                  <c:v>368.5249352923118</c:v>
                </c:pt>
                <c:pt idx="9">
                  <c:v>369.8588871748924</c:v>
                </c:pt>
                <c:pt idx="10">
                  <c:v>371.20450096316586</c:v>
                </c:pt>
                <c:pt idx="11">
                  <c:v>372.56174423971169</c:v>
                </c:pt>
                <c:pt idx="12">
                  <c:v>373.9305844742687</c:v>
                </c:pt>
                <c:pt idx="13">
                  <c:v>375.31098902444791</c:v>
                </c:pt>
                <c:pt idx="14">
                  <c:v>376.70292513644944</c:v>
                </c:pt>
                <c:pt idx="15">
                  <c:v>378.10635994578399</c:v>
                </c:pt>
                <c:pt idx="16">
                  <c:v>379.52126047799817</c:v>
                </c:pt>
                <c:pt idx="17">
                  <c:v>380.94759364940404</c:v>
                </c:pt>
                <c:pt idx="18">
                  <c:v>382.38532626781262</c:v>
                </c:pt>
                <c:pt idx="19">
                  <c:v>383.8344250332712</c:v>
                </c:pt>
                <c:pt idx="20">
                  <c:v>385.29485653880454</c:v>
                </c:pt>
                <c:pt idx="21">
                  <c:v>386.76658727115984</c:v>
                </c:pt>
                <c:pt idx="22">
                  <c:v>388.24958361155512</c:v>
                </c:pt>
                <c:pt idx="23">
                  <c:v>389.74381183643141</c:v>
                </c:pt>
                <c:pt idx="24">
                  <c:v>391.24923811820821</c:v>
                </c:pt>
                <c:pt idx="25">
                  <c:v>392.76582852604253</c:v>
                </c:pt>
                <c:pt idx="26">
                  <c:v>394.29354902659088</c:v>
                </c:pt>
                <c:pt idx="27">
                  <c:v>395.83236548477504</c:v>
                </c:pt>
                <c:pt idx="28">
                  <c:v>397.38224366455046</c:v>
                </c:pt>
                <c:pt idx="29">
                  <c:v>398.94314922967789</c:v>
                </c:pt>
                <c:pt idx="30">
                  <c:v>400.51504774449819</c:v>
                </c:pt>
                <c:pt idx="31">
                  <c:v>402.09790467470981</c:v>
                </c:pt>
                <c:pt idx="32">
                  <c:v>403.6916853881491</c:v>
                </c:pt>
                <c:pt idx="33">
                  <c:v>405.29635515557356</c:v>
                </c:pt>
                <c:pt idx="34">
                  <c:v>406.91187915144764</c:v>
                </c:pt>
                <c:pt idx="35">
                  <c:v>408.53822245473111</c:v>
                </c:pt>
                <c:pt idx="36">
                  <c:v>410.17535004966999</c:v>
                </c:pt>
                <c:pt idx="37">
                  <c:v>411.82322682658997</c:v>
                </c:pt>
                <c:pt idx="38">
                  <c:v>413.48181758269214</c:v>
                </c:pt>
                <c:pt idx="39">
                  <c:v>415.15108702285113</c:v>
                </c:pt>
                <c:pt idx="40">
                  <c:v>416.83099976041524</c:v>
                </c:pt>
                <c:pt idx="41">
                  <c:v>418.52152031800892</c:v>
                </c:pt>
                <c:pt idx="42">
                  <c:v>420.22261312833734</c:v>
                </c:pt>
                <c:pt idx="43">
                  <c:v>421.93424253499279</c:v>
                </c:pt>
                <c:pt idx="44">
                  <c:v>423.65637279326319</c:v>
                </c:pt>
                <c:pt idx="45">
                  <c:v>425.38896807094227</c:v>
                </c:pt>
                <c:pt idx="46">
                  <c:v>427.13199244914176</c:v>
                </c:pt>
                <c:pt idx="47">
                  <c:v>428.8854099231051</c:v>
                </c:pt>
                <c:pt idx="48">
                  <c:v>430.6491844030229</c:v>
                </c:pt>
                <c:pt idx="49">
                  <c:v>432.42327971484985</c:v>
                </c:pt>
                <c:pt idx="50">
                  <c:v>434.20765960112328</c:v>
                </c:pt>
                <c:pt idx="51">
                  <c:v>436.00229128152</c:v>
                </c:pt>
                <c:pt idx="52">
                  <c:v>437.80714901800877</c:v>
                </c:pt>
                <c:pt idx="53">
                  <c:v>439.62221056069609</c:v>
                </c:pt>
                <c:pt idx="54">
                  <c:v>441.44745358889804</c:v>
                </c:pt>
                <c:pt idx="55">
                  <c:v>443.28285571160336</c:v>
                </c:pt>
                <c:pt idx="56">
                  <c:v>445.12839446793811</c:v>
                </c:pt>
                <c:pt idx="57">
                  <c:v>446.98404732763231</c:v>
                </c:pt>
                <c:pt idx="58">
                  <c:v>448.84979169148824</c:v>
                </c:pt>
                <c:pt idx="59">
                  <c:v>450.72560489185025</c:v>
                </c:pt>
                <c:pt idx="60">
                  <c:v>452.61146419307659</c:v>
                </c:pt>
                <c:pt idx="61">
                  <c:v>454.50734679201236</c:v>
                </c:pt>
                <c:pt idx="62">
                  <c:v>456.41322981846452</c:v>
                </c:pt>
                <c:pt idx="63">
                  <c:v>458.32909033567802</c:v>
                </c:pt>
                <c:pt idx="64">
                  <c:v>460.25490534081393</c:v>
                </c:pt>
                <c:pt idx="65">
                  <c:v>462.19065176542841</c:v>
                </c:pt>
                <c:pt idx="66">
                  <c:v>464.13630647595375</c:v>
                </c:pt>
                <c:pt idx="67">
                  <c:v>466.09184627418034</c:v>
                </c:pt>
                <c:pt idx="68">
                  <c:v>468.0572478977403</c:v>
                </c:pt>
                <c:pt idx="69">
                  <c:v>470.03248802059233</c:v>
                </c:pt>
                <c:pt idx="70">
                  <c:v>472.01754325350782</c:v>
                </c:pt>
                <c:pt idx="71">
                  <c:v>474.01239014455831</c:v>
                </c:pt>
                <c:pt idx="72">
                  <c:v>476.01700517960404</c:v>
                </c:pt>
                <c:pt idx="73">
                  <c:v>478.03136478278401</c:v>
                </c:pt>
                <c:pt idx="74">
                  <c:v>480.05544531700679</c:v>
                </c:pt>
                <c:pt idx="75">
                  <c:v>482.08922308444272</c:v>
                </c:pt>
                <c:pt idx="76">
                  <c:v>484.13267432701713</c:v>
                </c:pt>
                <c:pt idx="77">
                  <c:v>486.18577522690464</c:v>
                </c:pt>
                <c:pt idx="78">
                  <c:v>488.24850190702443</c:v>
                </c:pt>
                <c:pt idx="79">
                  <c:v>490.32083043153659</c:v>
                </c:pt>
                <c:pt idx="80">
                  <c:v>492.40273680633931</c:v>
                </c:pt>
                <c:pt idx="81">
                  <c:v>494.49419697956705</c:v>
                </c:pt>
                <c:pt idx="82">
                  <c:v>496.59518684208967</c:v>
                </c:pt>
                <c:pt idx="83">
                  <c:v>498.70568222801234</c:v>
                </c:pt>
                <c:pt idx="84">
                  <c:v>500.82565891517618</c:v>
                </c:pt>
                <c:pt idx="85">
                  <c:v>502.95509262565986</c:v>
                </c:pt>
                <c:pt idx="86">
                  <c:v>505.09395902628182</c:v>
                </c:pt>
                <c:pt idx="87">
                  <c:v>507.24223372910342</c:v>
                </c:pt>
                <c:pt idx="88">
                  <c:v>509.39989229193242</c:v>
                </c:pt>
                <c:pt idx="89">
                  <c:v>511.56691021882739</c:v>
                </c:pt>
                <c:pt idx="90">
                  <c:v>513.74326296060281</c:v>
                </c:pt>
                <c:pt idx="91">
                  <c:v>515.92892591533439</c:v>
                </c:pt>
                <c:pt idx="92">
                  <c:v>518.12387442886529</c:v>
                </c:pt>
                <c:pt idx="93">
                  <c:v>520.32808379531275</c:v>
                </c:pt>
                <c:pt idx="94">
                  <c:v>522.54152925757523</c:v>
                </c:pt>
                <c:pt idx="95">
                  <c:v>524.76418600783995</c:v>
                </c:pt>
                <c:pt idx="96">
                  <c:v>526.9960291880908</c:v>
                </c:pt>
                <c:pt idx="97">
                  <c:v>529.23703389061689</c:v>
                </c:pt>
                <c:pt idx="98">
                  <c:v>531.48717515852127</c:v>
                </c:pt>
                <c:pt idx="99">
                  <c:v>533.74642798622995</c:v>
                </c:pt>
                <c:pt idx="100">
                  <c:v>536.01476732000128</c:v>
                </c:pt>
                <c:pt idx="101">
                  <c:v>538.29216640444599</c:v>
                </c:pt>
                <c:pt idx="102">
                  <c:v>540.57859512767118</c:v>
                </c:pt>
                <c:pt idx="103">
                  <c:v>542.87402167499397</c:v>
                </c:pt>
                <c:pt idx="104">
                  <c:v>545.17841418410751</c:v>
                </c:pt>
                <c:pt idx="105">
                  <c:v>547.49174074574341</c:v>
                </c:pt>
                <c:pt idx="106">
                  <c:v>549.8139694043341</c:v>
                </c:pt>
                <c:pt idx="107">
                  <c:v>552.14506815867389</c:v>
                </c:pt>
                <c:pt idx="108">
                  <c:v>554.48500496258009</c:v>
                </c:pt>
                <c:pt idx="109">
                  <c:v>556.83374772555351</c:v>
                </c:pt>
                <c:pt idx="110">
                  <c:v>559.19126431343773</c:v>
                </c:pt>
                <c:pt idx="111">
                  <c:v>561.55752254907839</c:v>
                </c:pt>
                <c:pt idx="112">
                  <c:v>563.93249021298118</c:v>
                </c:pt>
                <c:pt idx="113">
                  <c:v>566.31613504396944</c:v>
                </c:pt>
                <c:pt idx="114">
                  <c:v>568.70842473984055</c:v>
                </c:pt>
                <c:pt idx="115">
                  <c:v>571.10932695802205</c:v>
                </c:pt>
                <c:pt idx="116">
                  <c:v>573.51880931622622</c:v>
                </c:pt>
                <c:pt idx="117">
                  <c:v>575.93683939310404</c:v>
                </c:pt>
                <c:pt idx="118">
                  <c:v>578.36338472889838</c:v>
                </c:pt>
                <c:pt idx="119">
                  <c:v>580.79841282609561</c:v>
                </c:pt>
                <c:pt idx="120">
                  <c:v>583.24189115007687</c:v>
                </c:pt>
                <c:pt idx="121">
                  <c:v>585.69378712976766</c:v>
                </c:pt>
                <c:pt idx="122">
                  <c:v>588.15406815828646</c:v>
                </c:pt>
                <c:pt idx="123">
                  <c:v>590.62270159359264</c:v>
                </c:pt>
                <c:pt idx="124">
                  <c:v>593.09965475913236</c:v>
                </c:pt>
                <c:pt idx="125">
                  <c:v>595.58489494448384</c:v>
                </c:pt>
                <c:pt idx="126">
                  <c:v>598.07838940600118</c:v>
                </c:pt>
                <c:pt idx="127">
                  <c:v>600.58010536745701</c:v>
                </c:pt>
                <c:pt idx="128">
                  <c:v>603.09001002068351</c:v>
                </c:pt>
                <c:pt idx="129">
                  <c:v>605.60807052621226</c:v>
                </c:pt>
                <c:pt idx="130">
                  <c:v>608.13425401391248</c:v>
                </c:pt>
                <c:pt idx="131">
                  <c:v>610.66852758362825</c:v>
                </c:pt>
                <c:pt idx="132">
                  <c:v>613.21085830581387</c:v>
                </c:pt>
                <c:pt idx="133">
                  <c:v>615.76121322216761</c:v>
                </c:pt>
                <c:pt idx="134">
                  <c:v>618.31955934626444</c:v>
                </c:pt>
                <c:pt idx="135">
                  <c:v>620.88586366418645</c:v>
                </c:pt>
                <c:pt idx="136">
                  <c:v>623.46009313515242</c:v>
                </c:pt>
                <c:pt idx="137">
                  <c:v>626.04221469214508</c:v>
                </c:pt>
                <c:pt idx="138">
                  <c:v>628.63219524253725</c:v>
                </c:pt>
                <c:pt idx="139">
                  <c:v>631.23000166871566</c:v>
                </c:pt>
                <c:pt idx="140">
                  <c:v>633.83560082870372</c:v>
                </c:pt>
                <c:pt idx="141">
                  <c:v>636.4489595567818</c:v>
                </c:pt>
                <c:pt idx="142">
                  <c:v>639.07004466410649</c:v>
                </c:pt>
                <c:pt idx="143">
                  <c:v>641.69882293932721</c:v>
                </c:pt>
                <c:pt idx="144">
                  <c:v>644.33526114920153</c:v>
                </c:pt>
                <c:pt idx="145">
                  <c:v>646.97932603920833</c:v>
                </c:pt>
                <c:pt idx="146">
                  <c:v>649.63098433415917</c:v>
                </c:pt>
                <c:pt idx="147">
                  <c:v>652.29020273880758</c:v>
                </c:pt>
                <c:pt idx="148">
                  <c:v>654.95694793845644</c:v>
                </c:pt>
                <c:pt idx="149">
                  <c:v>657.63118659956353</c:v>
                </c:pt>
                <c:pt idx="150">
                  <c:v>660.31288537034447</c:v>
                </c:pt>
                <c:pt idx="151">
                  <c:v>663.00201144821119</c:v>
                </c:pt>
                <c:pt idx="152">
                  <c:v>665.69853314739169</c:v>
                </c:pt>
                <c:pt idx="153">
                  <c:v>668.4024193324384</c:v>
                </c:pt>
                <c:pt idx="154">
                  <c:v>671.11363885152809</c:v>
                </c:pt>
                <c:pt idx="155">
                  <c:v>673.83216053700721</c:v>
                </c:pt>
                <c:pt idx="156">
                  <c:v>676.55795320593597</c:v>
                </c:pt>
                <c:pt idx="157">
                  <c:v>679.29098566062976</c:v>
                </c:pt>
                <c:pt idx="158">
                  <c:v>682.03122668919934</c:v>
                </c:pt>
                <c:pt idx="159">
                  <c:v>684.77864506608853</c:v>
                </c:pt>
                <c:pt idx="160">
                  <c:v>687.53320955261029</c:v>
                </c:pt>
                <c:pt idx="161">
                  <c:v>690.29488889748052</c:v>
                </c:pt>
                <c:pt idx="162">
                  <c:v>693.06365183735011</c:v>
                </c:pt>
                <c:pt idx="163">
                  <c:v>695.83946709733482</c:v>
                </c:pt>
                <c:pt idx="164">
                  <c:v>698.62230339154303</c:v>
                </c:pt>
                <c:pt idx="165">
                  <c:v>701.41212942360141</c:v>
                </c:pt>
                <c:pt idx="166">
                  <c:v>704.20891388717848</c:v>
                </c:pt>
                <c:pt idx="167">
                  <c:v>707.01262546650628</c:v>
                </c:pt>
                <c:pt idx="168">
                  <c:v>709.82323283689971</c:v>
                </c:pt>
                <c:pt idx="169">
                  <c:v>712.64070466527335</c:v>
                </c:pt>
                <c:pt idx="170">
                  <c:v>715.46500961065692</c:v>
                </c:pt>
                <c:pt idx="171">
                  <c:v>718.29611632470767</c:v>
                </c:pt>
                <c:pt idx="172">
                  <c:v>721.13399345222103</c:v>
                </c:pt>
                <c:pt idx="173">
                  <c:v>723.97860963163907</c:v>
                </c:pt>
                <c:pt idx="174">
                  <c:v>726.82993349555636</c:v>
                </c:pt>
                <c:pt idx="175">
                  <c:v>729.68793367122373</c:v>
                </c:pt>
                <c:pt idx="176">
                  <c:v>732.55257878104987</c:v>
                </c:pt>
                <c:pt idx="177">
                  <c:v>735.4238374431003</c:v>
                </c:pt>
                <c:pt idx="178">
                  <c:v>738.30167827159426</c:v>
                </c:pt>
                <c:pt idx="179">
                  <c:v>741.18606987739929</c:v>
                </c:pt>
                <c:pt idx="180">
                  <c:v>744.07698086852326</c:v>
                </c:pt>
                <c:pt idx="181">
                  <c:v>746.9743798506039</c:v>
                </c:pt>
                <c:pt idx="182">
                  <c:v>749.87823542739625</c:v>
                </c:pt>
                <c:pt idx="183">
                  <c:v>752.78851620125783</c:v>
                </c:pt>
                <c:pt idx="184">
                  <c:v>755.70519077363053</c:v>
                </c:pt>
                <c:pt idx="185">
                  <c:v>758.62822774552126</c:v>
                </c:pt>
                <c:pt idx="186">
                  <c:v>761.55759571797921</c:v>
                </c:pt>
                <c:pt idx="187">
                  <c:v>764.49326329257087</c:v>
                </c:pt>
                <c:pt idx="188">
                  <c:v>767.43519907185282</c:v>
                </c:pt>
                <c:pt idx="189">
                  <c:v>770.38337165984194</c:v>
                </c:pt>
                <c:pt idx="190">
                  <c:v>773.33774966248268</c:v>
                </c:pt>
                <c:pt idx="191">
                  <c:v>776.29830168811247</c:v>
                </c:pt>
                <c:pt idx="192">
                  <c:v>779.26499634792401</c:v>
                </c:pt>
                <c:pt idx="193">
                  <c:v>782.23780225642543</c:v>
                </c:pt>
                <c:pt idx="194">
                  <c:v>785.21668803189777</c:v>
                </c:pt>
                <c:pt idx="195">
                  <c:v>788.20162229684945</c:v>
                </c:pt>
                <c:pt idx="196">
                  <c:v>791.19257367846899</c:v>
                </c:pt>
                <c:pt idx="197">
                  <c:v>794.18951080907448</c:v>
                </c:pt>
                <c:pt idx="198">
                  <c:v>797.19240232656045</c:v>
                </c:pt>
                <c:pt idx="199">
                  <c:v>800.20121687484243</c:v>
                </c:pt>
                <c:pt idx="200">
                  <c:v>803.21592310429901</c:v>
                </c:pt>
                <c:pt idx="201">
                  <c:v>806.2364896722105</c:v>
                </c:pt>
                <c:pt idx="202">
                  <c:v>809.2628852431958</c:v>
                </c:pt>
                <c:pt idx="203">
                  <c:v>812.29507848964613</c:v>
                </c:pt>
                <c:pt idx="204">
                  <c:v>815.33303809215613</c:v>
                </c:pt>
                <c:pt idx="205">
                  <c:v>818.37673273995244</c:v>
                </c:pt>
                <c:pt idx="206">
                  <c:v>821.42613113131938</c:v>
                </c:pt>
                <c:pt idx="207">
                  <c:v>824.48120197402227</c:v>
                </c:pt>
                <c:pt idx="208">
                  <c:v>827.54191398572743</c:v>
                </c:pt>
                <c:pt idx="209">
                  <c:v>830.60823589442043</c:v>
                </c:pt>
                <c:pt idx="210">
                  <c:v>833.68013643882045</c:v>
                </c:pt>
                <c:pt idx="211">
                  <c:v>836.75758436879289</c:v>
                </c:pt>
                <c:pt idx="212">
                  <c:v>839.84054844575871</c:v>
                </c:pt>
                <c:pt idx="213">
                  <c:v>842.92899744310125</c:v>
                </c:pt>
                <c:pt idx="214">
                  <c:v>846.02290014657012</c:v>
                </c:pt>
                <c:pt idx="215">
                  <c:v>849.12222535468266</c:v>
                </c:pt>
                <c:pt idx="216">
                  <c:v>852.22694187912214</c:v>
                </c:pt>
                <c:pt idx="217">
                  <c:v>855.33701854513367</c:v>
                </c:pt>
                <c:pt idx="218">
                  <c:v>858.45242419191709</c:v>
                </c:pt>
                <c:pt idx="219">
                  <c:v>861.57312767301687</c:v>
                </c:pt>
                <c:pt idx="220">
                  <c:v>864.69909785671007</c:v>
                </c:pt>
                <c:pt idx="221">
                  <c:v>867.83030362639033</c:v>
                </c:pt>
                <c:pt idx="222">
                  <c:v>870.9667138809499</c:v>
                </c:pt>
                <c:pt idx="223">
                  <c:v>874.10829753515861</c:v>
                </c:pt>
                <c:pt idx="224">
                  <c:v>877.25502352004025</c:v>
                </c:pt>
                <c:pt idx="225">
                  <c:v>880.40686078324552</c:v>
                </c:pt>
                <c:pt idx="226">
                  <c:v>883.563778289423</c:v>
                </c:pt>
                <c:pt idx="227">
                  <c:v>886.72574502058671</c:v>
                </c:pt>
                <c:pt idx="228">
                  <c:v>889.89272997648106</c:v>
                </c:pt>
                <c:pt idx="229">
                  <c:v>893.06470217494302</c:v>
                </c:pt>
                <c:pt idx="230">
                  <c:v>896.24163065226151</c:v>
                </c:pt>
                <c:pt idx="231">
                  <c:v>899.42348446353355</c:v>
                </c:pt>
                <c:pt idx="232">
                  <c:v>902.61023268301847</c:v>
                </c:pt>
                <c:pt idx="233">
                  <c:v>905.80184440448807</c:v>
                </c:pt>
                <c:pt idx="234">
                  <c:v>908.99828874157515</c:v>
                </c:pt>
                <c:pt idx="235">
                  <c:v>912.19953482811832</c:v>
                </c:pt>
                <c:pt idx="236">
                  <c:v>915.40555181850459</c:v>
                </c:pt>
                <c:pt idx="237">
                  <c:v>918.6163088880088</c:v>
                </c:pt>
                <c:pt idx="238">
                  <c:v>921.83177523313009</c:v>
                </c:pt>
                <c:pt idx="239">
                  <c:v>925.05192007192591</c:v>
                </c:pt>
                <c:pt idx="240">
                  <c:v>928.27671264434309</c:v>
                </c:pt>
                <c:pt idx="241">
                  <c:v>931.50612221254573</c:v>
                </c:pt>
                <c:pt idx="242">
                  <c:v>934.74011806124088</c:v>
                </c:pt>
                <c:pt idx="243">
                  <c:v>937.97866949800061</c:v>
                </c:pt>
                <c:pt idx="244">
                  <c:v>941.22174585358221</c:v>
                </c:pt>
                <c:pt idx="245">
                  <c:v>944.46931648224438</c:v>
                </c:pt>
                <c:pt idx="246">
                  <c:v>947.72135076206166</c:v>
                </c:pt>
                <c:pt idx="247">
                  <c:v>950.97781809523565</c:v>
                </c:pt>
                <c:pt idx="248">
                  <c:v>954.23868790840299</c:v>
                </c:pt>
                <c:pt idx="249">
                  <c:v>957.50392965294111</c:v>
                </c:pt>
                <c:pt idx="250">
                  <c:v>960.7735128052708</c:v>
                </c:pt>
                <c:pt idx="251">
                  <c:v>964.04740439173315</c:v>
                </c:pt>
                <c:pt idx="252">
                  <c:v>967.32556651479206</c:v>
                </c:pt>
                <c:pt idx="253">
                  <c:v>970.60795883360367</c:v>
                </c:pt>
                <c:pt idx="254">
                  <c:v>973.89454104332742</c:v>
                </c:pt>
                <c:pt idx="255">
                  <c:v>977.18527287556026</c:v>
                </c:pt>
                <c:pt idx="256">
                  <c:v>980.48011409876642</c:v>
                </c:pt>
                <c:pt idx="257">
                  <c:v>983.77902451870193</c:v>
                </c:pt>
                <c:pt idx="258">
                  <c:v>987.08196397883557</c:v>
                </c:pt>
                <c:pt idx="259">
                  <c:v>990.38889236076398</c:v>
                </c:pt>
                <c:pt idx="260">
                  <c:v>993.69976958462325</c:v>
                </c:pt>
                <c:pt idx="261">
                  <c:v>997.01455560949512</c:v>
                </c:pt>
                <c:pt idx="262">
                  <c:v>1000.3332104338092</c:v>
                </c:pt>
                <c:pt idx="263">
                  <c:v>1003.65569409574</c:v>
                </c:pt>
                <c:pt idx="264">
                  <c:v>1006.9819666735999</c:v>
                </c:pt>
                <c:pt idx="265">
                  <c:v>1010.3119882862272</c:v>
                </c:pt>
                <c:pt idx="266">
                  <c:v>1013.64571909337</c:v>
                </c:pt>
                <c:pt idx="267">
                  <c:v>1016.9831192960646</c:v>
                </c:pt>
                <c:pt idx="268">
                  <c:v>1020.3241491370112</c:v>
                </c:pt>
                <c:pt idx="269">
                  <c:v>1023.6687689009427</c:v>
                </c:pt>
                <c:pt idx="270">
                  <c:v>1027.0169389149908</c:v>
                </c:pt>
                <c:pt idx="271">
                  <c:v>1030.368619549047</c:v>
                </c:pt>
                <c:pt idx="272">
                  <c:v>1033.7237712161188</c:v>
                </c:pt>
                <c:pt idx="273">
                  <c:v>1037.0823543726817</c:v>
                </c:pt>
                <c:pt idx="274">
                  <c:v>1040.444329519027</c:v>
                </c:pt>
                <c:pt idx="275">
                  <c:v>1043.8096571996043</c:v>
                </c:pt>
                <c:pt idx="276">
                  <c:v>1047.1782980033609</c:v>
                </c:pt>
                <c:pt idx="277">
                  <c:v>1050.5502125640749</c:v>
                </c:pt>
                <c:pt idx="278">
                  <c:v>1053.9253615606854</c:v>
                </c:pt>
                <c:pt idx="279">
                  <c:v>1057.3037057176182</c:v>
                </c:pt>
                <c:pt idx="280">
                  <c:v>1060.6852058051059</c:v>
                </c:pt>
                <c:pt idx="281">
                  <c:v>1064.0698226395048</c:v>
                </c:pt>
                <c:pt idx="282">
                  <c:v>1067.4575170836067</c:v>
                </c:pt>
                <c:pt idx="283">
                  <c:v>1070.8482500469474</c:v>
                </c:pt>
                <c:pt idx="284">
                  <c:v>1074.2419824861092</c:v>
                </c:pt>
                <c:pt idx="285">
                  <c:v>1077.6386754050204</c:v>
                </c:pt>
                <c:pt idx="286">
                  <c:v>1081.0382898552498</c:v>
                </c:pt>
                <c:pt idx="287">
                  <c:v>1084.4407869362974</c:v>
                </c:pt>
                <c:pt idx="288">
                  <c:v>1087.8461277958804</c:v>
                </c:pt>
                <c:pt idx="289">
                  <c:v>1091.254273630215</c:v>
                </c:pt>
                <c:pt idx="290">
                  <c:v>1094.6651856842939</c:v>
                </c:pt>
                <c:pt idx="291">
                  <c:v>1098.0788252521597</c:v>
                </c:pt>
                <c:pt idx="292">
                  <c:v>1101.4951536771746</c:v>
                </c:pt>
                <c:pt idx="293">
                  <c:v>1104.9141323522845</c:v>
                </c:pt>
                <c:pt idx="294">
                  <c:v>1108.3357227202798</c:v>
                </c:pt>
                <c:pt idx="295">
                  <c:v>1111.7598862740524</c:v>
                </c:pt>
                <c:pt idx="296">
                  <c:v>1115.1865845568475</c:v>
                </c:pt>
                <c:pt idx="297">
                  <c:v>1118.6157791625126</c:v>
                </c:pt>
                <c:pt idx="298">
                  <c:v>1122.0474044417065</c:v>
                </c:pt>
                <c:pt idx="299">
                  <c:v>1125.4813402352108</c:v>
                </c:pt>
                <c:pt idx="300">
                  <c:v>1128.9174392426266</c:v>
                </c:pt>
                <c:pt idx="301">
                  <c:v>1132.3555543654779</c:v>
                </c:pt>
                <c:pt idx="302">
                  <c:v>1135.7955387104471</c:v>
                </c:pt>
                <c:pt idx="303">
                  <c:v>1139.237245592554</c:v>
                </c:pt>
                <c:pt idx="304">
                  <c:v>1142.6805285382816</c:v>
                </c:pt>
                <c:pt idx="305">
                  <c:v>1146.1252412886458</c:v>
                </c:pt>
                <c:pt idx="306">
                  <c:v>1149.5712378022113</c:v>
                </c:pt>
                <c:pt idx="307">
                  <c:v>1153.0183722580523</c:v>
                </c:pt>
                <c:pt idx="308">
                  <c:v>1156.4664990586598</c:v>
                </c:pt>
                <c:pt idx="309">
                  <c:v>1159.9154728327935</c:v>
                </c:pt>
                <c:pt idx="310">
                  <c:v>1163.3651484382806</c:v>
                </c:pt>
                <c:pt idx="311">
                  <c:v>1166.8153809647604</c:v>
                </c:pt>
                <c:pt idx="312">
                  <c:v>1170.2660257363748</c:v>
                </c:pt>
                <c:pt idx="313">
                  <c:v>1173.716938314406</c:v>
                </c:pt>
                <c:pt idx="314">
                  <c:v>1177.1679744998605</c:v>
                </c:pt>
                <c:pt idx="315">
                  <c:v>1180.6189903359998</c:v>
                </c:pt>
                <c:pt idx="316">
                  <c:v>1184.0698421108184</c:v>
                </c:pt>
                <c:pt idx="317">
                  <c:v>1187.5203863594695</c:v>
                </c:pt>
                <c:pt idx="318">
                  <c:v>1190.9704798666369</c:v>
                </c:pt>
                <c:pt idx="319">
                  <c:v>1194.4199796688565</c:v>
                </c:pt>
                <c:pt idx="320">
                  <c:v>1197.8687430567843</c:v>
                </c:pt>
                <c:pt idx="321">
                  <c:v>1201.3166384471067</c:v>
                </c:pt>
                <c:pt idx="322">
                  <c:v>1204.7635562360797</c:v>
                </c:pt>
                <c:pt idx="323">
                  <c:v>1208.2093978909531</c:v>
                </c:pt>
                <c:pt idx="324">
                  <c:v>1211.6540650590343</c:v>
                </c:pt>
                <c:pt idx="325">
                  <c:v>1215.0974595684579</c:v>
                </c:pt>
                <c:pt idx="326">
                  <c:v>1218.5394834289316</c:v>
                </c:pt>
                <c:pt idx="327">
                  <c:v>1221.9800388324593</c:v>
                </c:pt>
                <c:pt idx="328">
                  <c:v>1225.4190281540411</c:v>
                </c:pt>
                <c:pt idx="329">
                  <c:v>1228.8563539523498</c:v>
                </c:pt>
                <c:pt idx="330">
                  <c:v>1232.2919189703846</c:v>
                </c:pt>
                <c:pt idx="331">
                  <c:v>1235.7256261361033</c:v>
                </c:pt>
                <c:pt idx="332">
                  <c:v>1239.1573785630305</c:v>
                </c:pt>
                <c:pt idx="333">
                  <c:v>1242.5870795508445</c:v>
                </c:pt>
                <c:pt idx="334">
                  <c:v>1246.0146325859416</c:v>
                </c:pt>
                <c:pt idx="335">
                  <c:v>1249.4399413419792</c:v>
                </c:pt>
                <c:pt idx="336">
                  <c:v>1252.8629096803959</c:v>
                </c:pt>
                <c:pt idx="337">
                  <c:v>1256.2834416509113</c:v>
                </c:pt>
                <c:pt idx="338">
                  <c:v>1259.7014414920034</c:v>
                </c:pt>
                <c:pt idx="339">
                  <c:v>1263.1168136313652</c:v>
                </c:pt>
                <c:pt idx="340">
                  <c:v>1266.5294626863401</c:v>
                </c:pt>
                <c:pt idx="341">
                  <c:v>1269.9392934643367</c:v>
                </c:pt>
                <c:pt idx="342">
                  <c:v>1273.3462109632226</c:v>
                </c:pt>
                <c:pt idx="343">
                  <c:v>1276.7501203716972</c:v>
                </c:pt>
                <c:pt idx="344">
                  <c:v>1280.1509270696451</c:v>
                </c:pt>
                <c:pt idx="345">
                  <c:v>1283.548536628469</c:v>
                </c:pt>
                <c:pt idx="346">
                  <c:v>1286.942854811402</c:v>
                </c:pt>
                <c:pt idx="347">
                  <c:v>1290.3337875738002</c:v>
                </c:pt>
                <c:pt idx="348">
                  <c:v>1293.721242236345</c:v>
                </c:pt>
                <c:pt idx="349">
                  <c:v>1297.1051286556749</c:v>
                </c:pt>
                <c:pt idx="350">
                  <c:v>1300.4853580464701</c:v>
                </c:pt>
                <c:pt idx="351">
                  <c:v>1303.8618418060305</c:v>
                </c:pt>
                <c:pt idx="352">
                  <c:v>1307.2344915144035</c:v>
                </c:pt>
                <c:pt idx="353">
                  <c:v>1310.603218934496</c:v>
                </c:pt>
                <c:pt idx="354">
                  <c:v>1313.9679360121679</c:v>
                </c:pt>
                <c:pt idx="355">
                  <c:v>1317.3285548763117</c:v>
                </c:pt>
                <c:pt idx="356">
                  <c:v>1320.6849878389141</c:v>
                </c:pt>
                <c:pt idx="357">
                  <c:v>1324.0371473951029</c:v>
                </c:pt>
                <c:pt idx="358">
                  <c:v>1327.3849462231772</c:v>
                </c:pt>
                <c:pt idx="359">
                  <c:v>1330.7282971846223</c:v>
                </c:pt>
                <c:pt idx="360">
                  <c:v>1334.0671377168794</c:v>
                </c:pt>
                <c:pt idx="361">
                  <c:v>1337.4014541689724</c:v>
                </c:pt>
                <c:pt idx="362">
                  <c:v>1340.7312572950639</c:v>
                </c:pt>
                <c:pt idx="363">
                  <c:v>1344.0565578052745</c:v>
                </c:pt>
                <c:pt idx="364">
                  <c:v>1347.3773663659235</c:v>
                </c:pt>
                <c:pt idx="365">
                  <c:v>1350.693693599771</c:v>
                </c:pt>
                <c:pt idx="366">
                  <c:v>1354.0055500862552</c:v>
                </c:pt>
                <c:pt idx="367">
                  <c:v>1357.3129463617308</c:v>
                </c:pt>
                <c:pt idx="368">
                  <c:v>1360.6158929197045</c:v>
                </c:pt>
                <c:pt idx="369">
                  <c:v>1363.9144002110684</c:v>
                </c:pt>
                <c:pt idx="370">
                  <c:v>1367.2084786443331</c:v>
                </c:pt>
                <c:pt idx="371">
                  <c:v>1370.4981385858584</c:v>
                </c:pt>
                <c:pt idx="372">
                  <c:v>1373.7833903600817</c:v>
                </c:pt>
                <c:pt idx="373">
                  <c:v>1377.0642442497469</c:v>
                </c:pt>
                <c:pt idx="374">
                  <c:v>1380.3407104961293</c:v>
                </c:pt>
                <c:pt idx="375">
                  <c:v>1383.612799299261</c:v>
                </c:pt>
                <c:pt idx="376">
                  <c:v>1386.8805208181534</c:v>
                </c:pt>
                <c:pt idx="377">
                  <c:v>1390.1438851710191</c:v>
                </c:pt>
                <c:pt idx="378">
                  <c:v>1393.4029024354913</c:v>
                </c:pt>
                <c:pt idx="379">
                  <c:v>1396.6575826488429</c:v>
                </c:pt>
                <c:pt idx="380">
                  <c:v>1399.9079358082033</c:v>
                </c:pt>
                <c:pt idx="381">
                  <c:v>1403.1539718707736</c:v>
                </c:pt>
                <c:pt idx="382">
                  <c:v>1406.3957007540409</c:v>
                </c:pt>
                <c:pt idx="383">
                  <c:v>1409.6331323359914</c:v>
                </c:pt>
                <c:pt idx="384">
                  <c:v>1412.8662764553208</c:v>
                </c:pt>
                <c:pt idx="385">
                  <c:v>1416.0951429116442</c:v>
                </c:pt>
                <c:pt idx="386">
                  <c:v>1419.3197414657052</c:v>
                </c:pt>
                <c:pt idx="387">
                  <c:v>1422.5400818395822</c:v>
                </c:pt>
                <c:pt idx="388">
                  <c:v>1425.7561737168937</c:v>
                </c:pt>
                <c:pt idx="389">
                  <c:v>1428.9680267430035</c:v>
                </c:pt>
                <c:pt idx="390">
                  <c:v>1432.1756505252224</c:v>
                </c:pt>
                <c:pt idx="391">
                  <c:v>1435.3790546330106</c:v>
                </c:pt>
                <c:pt idx="392">
                  <c:v>1438.578248598177</c:v>
                </c:pt>
                <c:pt idx="393">
                  <c:v>1441.7732419150786</c:v>
                </c:pt>
                <c:pt idx="394">
                  <c:v>1444.9640440408177</c:v>
                </c:pt>
                <c:pt idx="395">
                  <c:v>1448.1506643954383</c:v>
                </c:pt>
                <c:pt idx="396">
                  <c:v>1451.3331123621206</c:v>
                </c:pt>
                <c:pt idx="397">
                  <c:v>1454.5113972873746</c:v>
                </c:pt>
                <c:pt idx="398">
                  <c:v>1457.6855284812327</c:v>
                </c:pt>
                <c:pt idx="399">
                  <c:v>1460.8555152174406</c:v>
                </c:pt>
                <c:pt idx="400">
                  <c:v>1464.0213667336468</c:v>
                </c:pt>
                <c:pt idx="401">
                  <c:v>1495.45315752755</c:v>
                </c:pt>
                <c:pt idx="402">
                  <c:v>1526.4773408599779</c:v>
                </c:pt>
                <c:pt idx="403">
                  <c:v>1557.1028143335948</c:v>
                </c:pt>
                <c:pt idx="404">
                  <c:v>1587.3381388050127</c:v>
                </c:pt>
                <c:pt idx="405">
                  <c:v>1617.1915553144117</c:v>
                </c:pt>
                <c:pt idx="406">
                  <c:v>1646.6710009525584</c:v>
                </c:pt>
                <c:pt idx="407">
                  <c:v>1675.7841237447863</c:v>
                </c:pt>
                <c:pt idx="408">
                  <c:v>1704.5382966246084</c:v>
                </c:pt>
                <c:pt idx="409">
                  <c:v>1732.9406305634075</c:v>
                </c:pt>
                <c:pt idx="410">
                  <c:v>1760.9979869170302</c:v>
                </c:pt>
                <c:pt idx="411">
                  <c:v>1788.7169890450368</c:v>
                </c:pt>
                <c:pt idx="412">
                  <c:v>1816.1040332537536</c:v>
                </c:pt>
                <c:pt idx="413">
                  <c:v>1843.1652991101125</c:v>
                </c:pt>
                <c:pt idx="414">
                  <c:v>1869.9067591694729</c:v>
                </c:pt>
                <c:pt idx="415">
                  <c:v>1896.334188157188</c:v>
                </c:pt>
                <c:pt idx="416">
                  <c:v>1922.4531716405481</c:v>
                </c:pt>
                <c:pt idx="417">
                  <c:v>1948.269114224885</c:v>
                </c:pt>
                <c:pt idx="418">
                  <c:v>1973.7872473050249</c:v>
                </c:pt>
                <c:pt idx="419">
                  <c:v>1999.0126364009052</c:v>
                </c:pt>
                <c:pt idx="420">
                  <c:v>2023.9501881040073</c:v>
                </c:pt>
                <c:pt idx="421">
                  <c:v>2048.604656659274</c:v>
                </c:pt>
                <c:pt idx="422">
                  <c:v>2072.9806502053639</c:v>
                </c:pt>
                <c:pt idx="423">
                  <c:v>2097.0826366944393</c:v>
                </c:pt>
                <c:pt idx="424">
                  <c:v>2120.9149495111496</c:v>
                </c:pt>
                <c:pt idx="425">
                  <c:v>2144.4817928090802</c:v>
                </c:pt>
                <c:pt idx="426">
                  <c:v>2167.7872465816413</c:v>
                </c:pt>
                <c:pt idx="427">
                  <c:v>2190.8352714831963</c:v>
                </c:pt>
                <c:pt idx="428">
                  <c:v>2213.6297134151255</c:v>
                </c:pt>
                <c:pt idx="429">
                  <c:v>2236.1743078905306</c:v>
                </c:pt>
                <c:pt idx="430">
                  <c:v>2258.4726841903484</c:v>
                </c:pt>
                <c:pt idx="431">
                  <c:v>2280.5283693227893</c:v>
                </c:pt>
                <c:pt idx="432">
                  <c:v>2302.3447917972248</c:v>
                </c:pt>
                <c:pt idx="433">
                  <c:v>2323.9252852229206</c:v>
                </c:pt>
                <c:pt idx="434">
                  <c:v>2345.2730917423305</c:v>
                </c:pt>
                <c:pt idx="435">
                  <c:v>2366.3913653080454</c:v>
                </c:pt>
                <c:pt idx="436">
                  <c:v>2387.2831748119015</c:v>
                </c:pt>
                <c:pt idx="437">
                  <c:v>2407.9515070742295</c:v>
                </c:pt>
                <c:pt idx="438">
                  <c:v>2428.3992697007084</c:v>
                </c:pt>
                <c:pt idx="439">
                  <c:v>2448.6292938138395</c:v>
                </c:pt>
                <c:pt idx="440">
                  <c:v>2468.6443366656113</c:v>
                </c:pt>
                <c:pt idx="441">
                  <c:v>2488.4470841375382</c:v>
                </c:pt>
                <c:pt idx="442">
                  <c:v>2508.0401531338707</c:v>
                </c:pt>
                <c:pt idx="443">
                  <c:v>2527.4260938734333</c:v>
                </c:pt>
                <c:pt idx="444">
                  <c:v>2546.6073920852223</c:v>
                </c:pt>
                <c:pt idx="445">
                  <c:v>2565.5864711125937</c:v>
                </c:pt>
                <c:pt idx="446">
                  <c:v>2584.3656939305843</c:v>
                </c:pt>
                <c:pt idx="447">
                  <c:v>2602.9473650806526</c:v>
                </c:pt>
                <c:pt idx="448">
                  <c:v>2621.3337325268794</c:v>
                </c:pt>
                <c:pt idx="449">
                  <c:v>2639.5269894374314</c:v>
                </c:pt>
                <c:pt idx="450">
                  <c:v>2657.5292758948881</c:v>
                </c:pt>
                <c:pt idx="451">
                  <c:v>2675.3426805388153</c:v>
                </c:pt>
                <c:pt idx="452">
                  <c:v>2692.9692421438008</c:v>
                </c:pt>
                <c:pt idx="453">
                  <c:v>2710.4109511359666</c:v>
                </c:pt>
                <c:pt idx="454">
                  <c:v>2727.6697510508325</c:v>
                </c:pt>
                <c:pt idx="455">
                  <c:v>2744.7475399352288</c:v>
                </c:pt>
                <c:pt idx="456">
                  <c:v>2761.6461716958238</c:v>
                </c:pt>
                <c:pt idx="457">
                  <c:v>2778.3674573966905</c:v>
                </c:pt>
                <c:pt idx="458">
                  <c:v>2794.9131665082105</c:v>
                </c:pt>
                <c:pt idx="459">
                  <c:v>2811.2850281094861</c:v>
                </c:pt>
                <c:pt idx="460">
                  <c:v>2827.4847320463305</c:v>
                </c:pt>
                <c:pt idx="461">
                  <c:v>2843.5139300467845</c:v>
                </c:pt>
                <c:pt idx="462">
                  <c:v>2859.3742367960222</c:v>
                </c:pt>
                <c:pt idx="463">
                  <c:v>2875.0672309723996</c:v>
                </c:pt>
                <c:pt idx="464">
                  <c:v>2890.5944562463246</c:v>
                </c:pt>
                <c:pt idx="465">
                  <c:v>2905.9574222435322</c:v>
                </c:pt>
                <c:pt idx="466">
                  <c:v>2921.1576054742732</c:v>
                </c:pt>
                <c:pt idx="467">
                  <c:v>2936.1964502298565</c:v>
                </c:pt>
                <c:pt idx="468">
                  <c:v>2951.0753694479004</c:v>
                </c:pt>
                <c:pt idx="469">
                  <c:v>2965.7957455475948</c:v>
                </c:pt>
                <c:pt idx="470">
                  <c:v>2980.3589312362119</c:v>
                </c:pt>
                <c:pt idx="471">
                  <c:v>2994.7662502880307</c:v>
                </c:pt>
                <c:pt idx="472">
                  <c:v>3009.0189982968063</c:v>
                </c:pt>
                <c:pt idx="473">
                  <c:v>3023.1184434028391</c:v>
                </c:pt>
                <c:pt idx="474">
                  <c:v>3037.0658269956675</c:v>
                </c:pt>
                <c:pt idx="475">
                  <c:v>3050.8623643933479</c:v>
                </c:pt>
                <c:pt idx="476">
                  <c:v>3064.5092454992459</c:v>
                </c:pt>
                <c:pt idx="477">
                  <c:v>3078.0076354372222</c:v>
                </c:pt>
                <c:pt idx="478">
                  <c:v>3091.3586751660482</c:v>
                </c:pt>
                <c:pt idx="479">
                  <c:v>3104.5634820738587</c:v>
                </c:pt>
                <c:pt idx="480">
                  <c:v>3117.6231505534038</c:v>
                </c:pt>
                <c:pt idx="481">
                  <c:v>3130.5387525588335</c:v>
                </c:pt>
                <c:pt idx="482">
                  <c:v>3143.3113381447124</c:v>
                </c:pt>
                <c:pt idx="483">
                  <c:v>3155.9419359879312</c:v>
                </c:pt>
                <c:pt idx="484">
                  <c:v>3168.4315538931578</c:v>
                </c:pt>
                <c:pt idx="485">
                  <c:v>3180.7811792824318</c:v>
                </c:pt>
                <c:pt idx="486">
                  <c:v>3192.9917796694922</c:v>
                </c:pt>
                <c:pt idx="487">
                  <c:v>3205.0643031193918</c:v>
                </c:pt>
                <c:pt idx="488">
                  <c:v>3216.9996786939378</c:v>
                </c:pt>
                <c:pt idx="489">
                  <c:v>3228.7988168834659</c:v>
                </c:pt>
                <c:pt idx="490">
                  <c:v>3240.46261002544</c:v>
                </c:pt>
                <c:pt idx="491">
                  <c:v>3251.9919327103476</c:v>
                </c:pt>
                <c:pt idx="492">
                  <c:v>3263.3876421753375</c:v>
                </c:pt>
                <c:pt idx="493">
                  <c:v>3274.6505786860353</c:v>
                </c:pt>
                <c:pt idx="494">
                  <c:v>3285.7815659069456</c:v>
                </c:pt>
                <c:pt idx="495">
                  <c:v>3296.7814112608394</c:v>
                </c:pt>
                <c:pt idx="496">
                  <c:v>3307.6509062775044</c:v>
                </c:pt>
                <c:pt idx="497">
                  <c:v>3318.3908269322264</c:v>
                </c:pt>
                <c:pt idx="498">
                  <c:v>3329.001933974348</c:v>
                </c:pt>
                <c:pt idx="499">
                  <c:v>3339.4849732462412</c:v>
                </c:pt>
                <c:pt idx="500">
                  <c:v>3349.8406759930162</c:v>
                </c:pt>
                <c:pt idx="501">
                  <c:v>3360.0697591632779</c:v>
                </c:pt>
                <c:pt idx="502">
                  <c:v>3370.1729257012239</c:v>
                </c:pt>
                <c:pt idx="503">
                  <c:v>3380.150864830372</c:v>
                </c:pt>
                <c:pt idx="504">
                  <c:v>3390.0042523291913</c:v>
                </c:pt>
                <c:pt idx="505">
                  <c:v>3399.7337507988991</c:v>
                </c:pt>
                <c:pt idx="506">
                  <c:v>3409.3400099236815</c:v>
                </c:pt>
                <c:pt idx="507">
                  <c:v>3418.8236667235751</c:v>
                </c:pt>
                <c:pt idx="508">
                  <c:v>3428.185345800252</c:v>
                </c:pt>
                <c:pt idx="509">
                  <c:v>3437.4256595759284</c:v>
                </c:pt>
                <c:pt idx="510">
                  <c:v>3446.545208525617</c:v>
                </c:pt>
                <c:pt idx="511">
                  <c:v>3455.5445814029304</c:v>
                </c:pt>
                <c:pt idx="512">
                  <c:v>3464.4243554596401</c:v>
                </c:pt>
                <c:pt idx="513">
                  <c:v>3473.1850966591815</c:v>
                </c:pt>
                <c:pt idx="514">
                  <c:v>3481.8273598842966</c:v>
                </c:pt>
                <c:pt idx="515">
                  <c:v>3490.35168913899</c:v>
                </c:pt>
                <c:pt idx="516">
                  <c:v>3498.7586177449753</c:v>
                </c:pt>
                <c:pt idx="517">
                  <c:v>3507.0486685327783</c:v>
                </c:pt>
                <c:pt idx="518">
                  <c:v>3515.2223540276586</c:v>
                </c:pt>
                <c:pt idx="519">
                  <c:v>3523.2801766305083</c:v>
                </c:pt>
                <c:pt idx="520">
                  <c:v>3531.2226287938724</c:v>
                </c:pt>
                <c:pt idx="521">
                  <c:v>3539.0501931932458</c:v>
                </c:pt>
                <c:pt idx="522">
                  <c:v>3546.7633428937779</c:v>
                </c:pt>
                <c:pt idx="523">
                  <c:v>3554.362541512528</c:v>
                </c:pt>
                <c:pt idx="524">
                  <c:v>3561.8482433763988</c:v>
                </c:pt>
                <c:pt idx="525">
                  <c:v>3569.2208936758784</c:v>
                </c:pt>
                <c:pt idx="526">
                  <c:v>3576.480928614712</c:v>
                </c:pt>
                <c:pt idx="527">
                  <c:v>3583.6287755556227</c:v>
                </c:pt>
                <c:pt idx="528">
                  <c:v>3590.6648531621991</c:v>
                </c:pt>
                <c:pt idx="529">
                  <c:v>3597.5895715370593</c:v>
                </c:pt>
                <c:pt idx="530">
                  <c:v>3604.4033323564036</c:v>
                </c:pt>
                <c:pt idx="531">
                  <c:v>3611.1065290010588</c:v>
                </c:pt>
                <c:pt idx="532">
                  <c:v>3617.6995466841204</c:v>
                </c:pt>
                <c:pt idx="533">
                  <c:v>3624.1827625752908</c:v>
                </c:pt>
                <c:pt idx="534">
                  <c:v>3630.556545922012</c:v>
                </c:pt>
                <c:pt idx="535">
                  <c:v>3636.8212581674893</c:v>
                </c:pt>
                <c:pt idx="536">
                  <c:v>3642.9772530657006</c:v>
                </c:pt>
                <c:pt idx="537">
                  <c:v>3649.0248767934795</c:v>
                </c:pt>
                <c:pt idx="538">
                  <c:v>3654.9644680597667</c:v>
                </c:pt>
                <c:pt idx="539">
                  <c:v>3660.7963582121151</c:v>
                </c:pt>
                <c:pt idx="540">
                  <c:v>3666.5208713405377</c:v>
                </c:pt>
                <c:pt idx="541">
                  <c:v>3672.1383243787832</c:v>
                </c:pt>
                <c:pt idx="542">
                  <c:v>3677.6490272031265</c:v>
                </c:pt>
                <c:pt idx="543">
                  <c:v>3683.0532827287584</c:v>
                </c:pt>
                <c:pt idx="544">
                  <c:v>3688.3513870038605</c:v>
                </c:pt>
                <c:pt idx="545">
                  <c:v>3693.5436293014454</c:v>
                </c:pt>
                <c:pt idx="546">
                  <c:v>3698.6302922090554</c:v>
                </c:pt>
                <c:pt idx="547">
                  <c:v>3703.6116517163987</c:v>
                </c:pt>
                <c:pt idx="548">
                  <c:v>3708.4879773010152</c:v>
                </c:pt>
                <c:pt idx="549">
                  <c:v>3713.2595320120549</c:v>
                </c:pt>
                <c:pt idx="550">
                  <c:v>3717.9265725522664</c:v>
                </c:pt>
                <c:pt idx="551">
                  <c:v>3722.4893493582827</c:v>
                </c:pt>
                <c:pt idx="552">
                  <c:v>3726.9481066793032</c:v>
                </c:pt>
                <c:pt idx="553">
                  <c:v>3731.3030826542708</c:v>
                </c:pt>
                <c:pt idx="554">
                  <c:v>3735.5545093876462</c:v>
                </c:pt>
                <c:pt idx="555">
                  <c:v>3739.7026130238905</c:v>
                </c:pt>
                <c:pt idx="556">
                  <c:v>3743.7476138207703</c:v>
                </c:pt>
                <c:pt idx="557">
                  <c:v>3747.6897262216025</c:v>
                </c:pt>
                <c:pt idx="558">
                  <c:v>3751.5291589265721</c:v>
                </c:pt>
                <c:pt idx="559">
                  <c:v>3755.2661149632563</c:v>
                </c:pt>
                <c:pt idx="560">
                  <c:v>3758.9007917565023</c:v>
                </c:pt>
                <c:pt idx="561">
                  <c:v>3762.433381197819</c:v>
                </c:pt>
                <c:pt idx="562">
                  <c:v>3765.8640697144488</c:v>
                </c:pt>
                <c:pt idx="563">
                  <c:v>3769.1930383383046</c:v>
                </c:pt>
                <c:pt idx="564">
                  <c:v>3772.4204627749741</c:v>
                </c:pt>
                <c:pt idx="565">
                  <c:v>3775.5465134730043</c:v>
                </c:pt>
                <c:pt idx="566">
                  <c:v>3778.5713556937039</c:v>
                </c:pt>
                <c:pt idx="567">
                  <c:v>3781.4951495817204</c:v>
                </c:pt>
                <c:pt idx="568">
                  <c:v>3784.3180502366736</c:v>
                </c:pt>
                <c:pt idx="569">
                  <c:v>3787.0402077861486</c:v>
                </c:pt>
                <c:pt idx="570">
                  <c:v>3789.661767460384</c:v>
                </c:pt>
                <c:pt idx="571">
                  <c:v>3792.1828696690177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51-4567-B7A1-067915120221}"/>
            </c:ext>
          </c:extLst>
        </c:ser>
        <c:ser>
          <c:idx val="6"/>
          <c:order val="6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Trajecto!$B$157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1897.3018250401424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51-4567-B7A1-067915120221}"/>
            </c:ext>
          </c:extLst>
        </c:ser>
        <c:ser>
          <c:idx val="7"/>
          <c:order val="7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Trajecto!$B$158</c:f>
              <c:numCache>
                <c:formatCode>General</c:formatCode>
                <c:ptCount val="1"/>
                <c:pt idx="0">
                  <c:v>44.200000000000287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1911.4210273800743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51-4567-B7A1-06791512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5008"/>
        <c:axId val="149276928"/>
      </c:scatterChart>
      <c:valAx>
        <c:axId val="149275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Trajecto!$B$112</c:f>
              <c:strCache>
                <c:ptCount val="1"/>
                <c:pt idx="0">
                  <c:v>Temps [s]</c:v>
                </c:pt>
              </c:strCache>
            </c:strRef>
          </c:tx>
          <c:layout>
            <c:manualLayout>
              <c:xMode val="edge"/>
              <c:yMode val="edge"/>
              <c:x val="0.60555551848391842"/>
              <c:y val="0.8513930569999506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6928"/>
        <c:crosses val="autoZero"/>
        <c:crossBetween val="midCat"/>
      </c:valAx>
      <c:valAx>
        <c:axId val="149276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9.0000333644735087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5008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Forces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4183243282920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Courbes!$B$134</c:f>
              <c:strCache>
                <c:ptCount val="1"/>
                <c:pt idx="0">
                  <c:v>Poussée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Calculs!$Q$4:$Q$1004</c:f>
              <c:numCache>
                <c:formatCode>0.00</c:formatCode>
                <c:ptCount val="1001"/>
                <c:pt idx="0">
                  <c:v>0</c:v>
                </c:pt>
                <c:pt idx="1">
                  <c:v>89.299999999998093</c:v>
                </c:pt>
                <c:pt idx="2">
                  <c:v>267.89999999999429</c:v>
                </c:pt>
                <c:pt idx="3">
                  <c:v>446.49999999999051</c:v>
                </c:pt>
                <c:pt idx="4">
                  <c:v>625.09999999998672</c:v>
                </c:pt>
                <c:pt idx="5">
                  <c:v>803.69999999998288</c:v>
                </c:pt>
                <c:pt idx="6">
                  <c:v>891.94444444444468</c:v>
                </c:pt>
                <c:pt idx="7">
                  <c:v>889.8333333333336</c:v>
                </c:pt>
                <c:pt idx="8">
                  <c:v>887.72222222222251</c:v>
                </c:pt>
                <c:pt idx="9">
                  <c:v>885.61111111111154</c:v>
                </c:pt>
                <c:pt idx="10">
                  <c:v>883.50000000000045</c:v>
                </c:pt>
                <c:pt idx="11">
                  <c:v>881.38888888888937</c:v>
                </c:pt>
                <c:pt idx="12">
                  <c:v>879.27777777777828</c:v>
                </c:pt>
                <c:pt idx="13">
                  <c:v>877.1666666666672</c:v>
                </c:pt>
                <c:pt idx="14">
                  <c:v>875.05555555555611</c:v>
                </c:pt>
                <c:pt idx="15">
                  <c:v>872.94444444444514</c:v>
                </c:pt>
                <c:pt idx="16">
                  <c:v>870.83333333333405</c:v>
                </c:pt>
                <c:pt idx="17">
                  <c:v>868.72222222222297</c:v>
                </c:pt>
                <c:pt idx="18">
                  <c:v>866.61111111111188</c:v>
                </c:pt>
                <c:pt idx="19">
                  <c:v>864.5000000000008</c:v>
                </c:pt>
                <c:pt idx="20">
                  <c:v>862.38888888888971</c:v>
                </c:pt>
                <c:pt idx="21">
                  <c:v>860.27777777777874</c:v>
                </c:pt>
                <c:pt idx="22">
                  <c:v>858.16666666666765</c:v>
                </c:pt>
                <c:pt idx="23">
                  <c:v>856.05555555555657</c:v>
                </c:pt>
                <c:pt idx="24">
                  <c:v>853.94444444444548</c:v>
                </c:pt>
                <c:pt idx="25">
                  <c:v>851.83333333333439</c:v>
                </c:pt>
                <c:pt idx="26">
                  <c:v>849.72222222222331</c:v>
                </c:pt>
                <c:pt idx="27">
                  <c:v>847.61111111111234</c:v>
                </c:pt>
                <c:pt idx="28">
                  <c:v>845.50000000000125</c:v>
                </c:pt>
                <c:pt idx="29">
                  <c:v>843.38888888889016</c:v>
                </c:pt>
                <c:pt idx="30">
                  <c:v>841.27777777777908</c:v>
                </c:pt>
                <c:pt idx="31">
                  <c:v>839.16666666666799</c:v>
                </c:pt>
                <c:pt idx="32">
                  <c:v>837.05555555555702</c:v>
                </c:pt>
                <c:pt idx="33">
                  <c:v>834.94444444444594</c:v>
                </c:pt>
                <c:pt idx="34">
                  <c:v>832.83333333333485</c:v>
                </c:pt>
                <c:pt idx="35">
                  <c:v>830.72222222222376</c:v>
                </c:pt>
                <c:pt idx="36">
                  <c:v>828.61111111111268</c:v>
                </c:pt>
                <c:pt idx="37">
                  <c:v>826.50000000000159</c:v>
                </c:pt>
                <c:pt idx="38">
                  <c:v>824.38888888889062</c:v>
                </c:pt>
                <c:pt idx="39">
                  <c:v>822.27777777777953</c:v>
                </c:pt>
                <c:pt idx="40">
                  <c:v>820.16666666666845</c:v>
                </c:pt>
                <c:pt idx="41">
                  <c:v>818.05555555555736</c:v>
                </c:pt>
                <c:pt idx="42">
                  <c:v>815.94444444444628</c:v>
                </c:pt>
                <c:pt idx="43">
                  <c:v>813.8333333333353</c:v>
                </c:pt>
                <c:pt idx="44">
                  <c:v>811.72222222222422</c:v>
                </c:pt>
                <c:pt idx="45">
                  <c:v>809.61111111111313</c:v>
                </c:pt>
                <c:pt idx="46">
                  <c:v>807.50000000000205</c:v>
                </c:pt>
                <c:pt idx="47">
                  <c:v>805.38888888889096</c:v>
                </c:pt>
                <c:pt idx="48">
                  <c:v>803.27777777777987</c:v>
                </c:pt>
                <c:pt idx="49">
                  <c:v>801.16666666666879</c:v>
                </c:pt>
                <c:pt idx="50">
                  <c:v>799.05555555555782</c:v>
                </c:pt>
                <c:pt idx="51">
                  <c:v>797.41000000000122</c:v>
                </c:pt>
                <c:pt idx="52">
                  <c:v>796.23000000000127</c:v>
                </c:pt>
                <c:pt idx="53">
                  <c:v>795.05000000000132</c:v>
                </c:pt>
                <c:pt idx="54">
                  <c:v>793.87000000000137</c:v>
                </c:pt>
                <c:pt idx="55">
                  <c:v>792.69000000000142</c:v>
                </c:pt>
                <c:pt idx="56">
                  <c:v>791.51000000000136</c:v>
                </c:pt>
                <c:pt idx="57">
                  <c:v>790.33000000000141</c:v>
                </c:pt>
                <c:pt idx="58">
                  <c:v>789.15000000000146</c:v>
                </c:pt>
                <c:pt idx="59">
                  <c:v>787.97000000000151</c:v>
                </c:pt>
                <c:pt idx="60">
                  <c:v>786.79000000000144</c:v>
                </c:pt>
                <c:pt idx="61">
                  <c:v>785.61000000000149</c:v>
                </c:pt>
                <c:pt idx="62">
                  <c:v>784.43000000000154</c:v>
                </c:pt>
                <c:pt idx="63">
                  <c:v>783.25000000000159</c:v>
                </c:pt>
                <c:pt idx="64">
                  <c:v>782.07000000000164</c:v>
                </c:pt>
                <c:pt idx="65">
                  <c:v>780.89000000000158</c:v>
                </c:pt>
                <c:pt idx="66">
                  <c:v>779.71000000000163</c:v>
                </c:pt>
                <c:pt idx="67">
                  <c:v>778.53000000000168</c:v>
                </c:pt>
                <c:pt idx="68">
                  <c:v>777.35000000000173</c:v>
                </c:pt>
                <c:pt idx="69">
                  <c:v>776.17000000000166</c:v>
                </c:pt>
                <c:pt idx="70">
                  <c:v>774.99000000000171</c:v>
                </c:pt>
                <c:pt idx="71">
                  <c:v>773.81000000000176</c:v>
                </c:pt>
                <c:pt idx="72">
                  <c:v>772.63000000000181</c:v>
                </c:pt>
                <c:pt idx="73">
                  <c:v>771.45000000000186</c:v>
                </c:pt>
                <c:pt idx="74">
                  <c:v>770.2700000000018</c:v>
                </c:pt>
                <c:pt idx="75">
                  <c:v>769.09000000000185</c:v>
                </c:pt>
                <c:pt idx="76">
                  <c:v>767.9100000000019</c:v>
                </c:pt>
                <c:pt idx="77">
                  <c:v>766.73000000000195</c:v>
                </c:pt>
                <c:pt idx="78">
                  <c:v>765.550000000002</c:v>
                </c:pt>
                <c:pt idx="79">
                  <c:v>764.37000000000194</c:v>
                </c:pt>
                <c:pt idx="80">
                  <c:v>763.19000000000199</c:v>
                </c:pt>
                <c:pt idx="81">
                  <c:v>762.01000000000204</c:v>
                </c:pt>
                <c:pt idx="82">
                  <c:v>760.83000000000209</c:v>
                </c:pt>
                <c:pt idx="83">
                  <c:v>759.65000000000202</c:v>
                </c:pt>
                <c:pt idx="84">
                  <c:v>758.47000000000207</c:v>
                </c:pt>
                <c:pt idx="85">
                  <c:v>757.29000000000212</c:v>
                </c:pt>
                <c:pt idx="86">
                  <c:v>756.11000000000217</c:v>
                </c:pt>
                <c:pt idx="87">
                  <c:v>754.93000000000222</c:v>
                </c:pt>
                <c:pt idx="88">
                  <c:v>753.75000000000216</c:v>
                </c:pt>
                <c:pt idx="89">
                  <c:v>752.57000000000221</c:v>
                </c:pt>
                <c:pt idx="90">
                  <c:v>751.39000000000226</c:v>
                </c:pt>
                <c:pt idx="91">
                  <c:v>750.21000000000231</c:v>
                </c:pt>
                <c:pt idx="92">
                  <c:v>749.03000000000225</c:v>
                </c:pt>
                <c:pt idx="93">
                  <c:v>747.8500000000023</c:v>
                </c:pt>
                <c:pt idx="94">
                  <c:v>746.67000000000235</c:v>
                </c:pt>
                <c:pt idx="95">
                  <c:v>745.4900000000024</c:v>
                </c:pt>
                <c:pt idx="96">
                  <c:v>744.31000000000245</c:v>
                </c:pt>
                <c:pt idx="97">
                  <c:v>743.13000000000238</c:v>
                </c:pt>
                <c:pt idx="98">
                  <c:v>741.95000000000243</c:v>
                </c:pt>
                <c:pt idx="99">
                  <c:v>740.77000000000248</c:v>
                </c:pt>
                <c:pt idx="100">
                  <c:v>739.59000000000253</c:v>
                </c:pt>
                <c:pt idx="101">
                  <c:v>738.20000000000346</c:v>
                </c:pt>
                <c:pt idx="102">
                  <c:v>736.60000000000343</c:v>
                </c:pt>
                <c:pt idx="103">
                  <c:v>735.00000000000352</c:v>
                </c:pt>
                <c:pt idx="104">
                  <c:v>733.4000000000035</c:v>
                </c:pt>
                <c:pt idx="105">
                  <c:v>731.80000000000359</c:v>
                </c:pt>
                <c:pt idx="106">
                  <c:v>730.20000000000357</c:v>
                </c:pt>
                <c:pt idx="107">
                  <c:v>728.60000000000366</c:v>
                </c:pt>
                <c:pt idx="108">
                  <c:v>727.00000000000364</c:v>
                </c:pt>
                <c:pt idx="109">
                  <c:v>725.40000000000373</c:v>
                </c:pt>
                <c:pt idx="110">
                  <c:v>723.80000000000371</c:v>
                </c:pt>
                <c:pt idx="111">
                  <c:v>722.2000000000038</c:v>
                </c:pt>
                <c:pt idx="112">
                  <c:v>720.60000000000377</c:v>
                </c:pt>
                <c:pt idx="113">
                  <c:v>719.00000000000387</c:v>
                </c:pt>
                <c:pt idx="114">
                  <c:v>717.40000000000384</c:v>
                </c:pt>
                <c:pt idx="115">
                  <c:v>715.80000000000393</c:v>
                </c:pt>
                <c:pt idx="116">
                  <c:v>714.20000000000391</c:v>
                </c:pt>
                <c:pt idx="117">
                  <c:v>712.600000000004</c:v>
                </c:pt>
                <c:pt idx="118">
                  <c:v>711.00000000000398</c:v>
                </c:pt>
                <c:pt idx="119">
                  <c:v>709.40000000000407</c:v>
                </c:pt>
                <c:pt idx="120">
                  <c:v>707.80000000000405</c:v>
                </c:pt>
                <c:pt idx="121">
                  <c:v>706.20000000000414</c:v>
                </c:pt>
                <c:pt idx="122">
                  <c:v>704.60000000000412</c:v>
                </c:pt>
                <c:pt idx="123">
                  <c:v>703.00000000000421</c:v>
                </c:pt>
                <c:pt idx="124">
                  <c:v>701.40000000000418</c:v>
                </c:pt>
                <c:pt idx="125">
                  <c:v>699.80000000000427</c:v>
                </c:pt>
                <c:pt idx="126">
                  <c:v>698.20000000000425</c:v>
                </c:pt>
                <c:pt idx="127">
                  <c:v>696.60000000000434</c:v>
                </c:pt>
                <c:pt idx="128">
                  <c:v>695.00000000000432</c:v>
                </c:pt>
                <c:pt idx="129">
                  <c:v>693.40000000000441</c:v>
                </c:pt>
                <c:pt idx="130">
                  <c:v>691.80000000000439</c:v>
                </c:pt>
                <c:pt idx="131">
                  <c:v>690.20000000000448</c:v>
                </c:pt>
                <c:pt idx="132">
                  <c:v>688.60000000000446</c:v>
                </c:pt>
                <c:pt idx="133">
                  <c:v>687.00000000000455</c:v>
                </c:pt>
                <c:pt idx="134">
                  <c:v>685.40000000000452</c:v>
                </c:pt>
                <c:pt idx="135">
                  <c:v>683.80000000000462</c:v>
                </c:pt>
                <c:pt idx="136">
                  <c:v>682.20000000000459</c:v>
                </c:pt>
                <c:pt idx="137">
                  <c:v>680.60000000000468</c:v>
                </c:pt>
                <c:pt idx="138">
                  <c:v>679.00000000000466</c:v>
                </c:pt>
                <c:pt idx="139">
                  <c:v>677.40000000000475</c:v>
                </c:pt>
                <c:pt idx="140">
                  <c:v>675.80000000000473</c:v>
                </c:pt>
                <c:pt idx="141">
                  <c:v>674.20000000000482</c:v>
                </c:pt>
                <c:pt idx="142">
                  <c:v>672.6000000000048</c:v>
                </c:pt>
                <c:pt idx="143">
                  <c:v>671.00000000000489</c:v>
                </c:pt>
                <c:pt idx="144">
                  <c:v>669.40000000000487</c:v>
                </c:pt>
                <c:pt idx="145">
                  <c:v>667.80000000000496</c:v>
                </c:pt>
                <c:pt idx="146">
                  <c:v>666.20000000000493</c:v>
                </c:pt>
                <c:pt idx="147">
                  <c:v>664.60000000000502</c:v>
                </c:pt>
                <c:pt idx="148">
                  <c:v>663.000000000005</c:v>
                </c:pt>
                <c:pt idx="149">
                  <c:v>661.40000000000509</c:v>
                </c:pt>
                <c:pt idx="150">
                  <c:v>659.80000000000507</c:v>
                </c:pt>
                <c:pt idx="151">
                  <c:v>658.27000000000464</c:v>
                </c:pt>
                <c:pt idx="152">
                  <c:v>656.81000000000472</c:v>
                </c:pt>
                <c:pt idx="153">
                  <c:v>655.3500000000048</c:v>
                </c:pt>
                <c:pt idx="154">
                  <c:v>653.89000000000476</c:v>
                </c:pt>
                <c:pt idx="155">
                  <c:v>652.43000000000484</c:v>
                </c:pt>
                <c:pt idx="156">
                  <c:v>650.9700000000048</c:v>
                </c:pt>
                <c:pt idx="157">
                  <c:v>649.51000000000488</c:v>
                </c:pt>
                <c:pt idx="158">
                  <c:v>648.05000000000496</c:v>
                </c:pt>
                <c:pt idx="159">
                  <c:v>646.59000000000492</c:v>
                </c:pt>
                <c:pt idx="160">
                  <c:v>645.130000000005</c:v>
                </c:pt>
                <c:pt idx="161">
                  <c:v>643.67000000000496</c:v>
                </c:pt>
                <c:pt idx="162">
                  <c:v>642.21000000000504</c:v>
                </c:pt>
                <c:pt idx="163">
                  <c:v>640.750000000005</c:v>
                </c:pt>
                <c:pt idx="164">
                  <c:v>639.29000000000508</c:v>
                </c:pt>
                <c:pt idx="165">
                  <c:v>637.83000000000516</c:v>
                </c:pt>
                <c:pt idx="166">
                  <c:v>636.37000000000512</c:v>
                </c:pt>
                <c:pt idx="167">
                  <c:v>634.9100000000052</c:v>
                </c:pt>
                <c:pt idx="168">
                  <c:v>633.45000000000516</c:v>
                </c:pt>
                <c:pt idx="169">
                  <c:v>631.99000000000524</c:v>
                </c:pt>
                <c:pt idx="170">
                  <c:v>630.53000000000532</c:v>
                </c:pt>
                <c:pt idx="171">
                  <c:v>629.07000000000528</c:v>
                </c:pt>
                <c:pt idx="172">
                  <c:v>627.61000000000536</c:v>
                </c:pt>
                <c:pt idx="173">
                  <c:v>626.15000000000532</c:v>
                </c:pt>
                <c:pt idx="174">
                  <c:v>624.6900000000054</c:v>
                </c:pt>
                <c:pt idx="175">
                  <c:v>623.23000000000548</c:v>
                </c:pt>
                <c:pt idx="176">
                  <c:v>621.77000000000544</c:v>
                </c:pt>
                <c:pt idx="177">
                  <c:v>620.31000000000552</c:v>
                </c:pt>
                <c:pt idx="178">
                  <c:v>618.85000000000548</c:v>
                </c:pt>
                <c:pt idx="179">
                  <c:v>617.39000000000556</c:v>
                </c:pt>
                <c:pt idx="180">
                  <c:v>615.93000000000563</c:v>
                </c:pt>
                <c:pt idx="181">
                  <c:v>614.4700000000056</c:v>
                </c:pt>
                <c:pt idx="182">
                  <c:v>613.01000000000568</c:v>
                </c:pt>
                <c:pt idx="183">
                  <c:v>611.55000000000564</c:v>
                </c:pt>
                <c:pt idx="184">
                  <c:v>610.09000000000572</c:v>
                </c:pt>
                <c:pt idx="185">
                  <c:v>608.63000000000579</c:v>
                </c:pt>
                <c:pt idx="186">
                  <c:v>607.17000000000576</c:v>
                </c:pt>
                <c:pt idx="187">
                  <c:v>605.71000000000583</c:v>
                </c:pt>
                <c:pt idx="188">
                  <c:v>604.2500000000058</c:v>
                </c:pt>
                <c:pt idx="189">
                  <c:v>602.79000000000588</c:v>
                </c:pt>
                <c:pt idx="190">
                  <c:v>601.33000000000584</c:v>
                </c:pt>
                <c:pt idx="191">
                  <c:v>599.87000000000592</c:v>
                </c:pt>
                <c:pt idx="192">
                  <c:v>598.41000000000599</c:v>
                </c:pt>
                <c:pt idx="193">
                  <c:v>596.95000000000596</c:v>
                </c:pt>
                <c:pt idx="194">
                  <c:v>595.49000000000603</c:v>
                </c:pt>
                <c:pt idx="195">
                  <c:v>594.03000000000611</c:v>
                </c:pt>
                <c:pt idx="196">
                  <c:v>592.57000000000608</c:v>
                </c:pt>
                <c:pt idx="197">
                  <c:v>591.11000000000615</c:v>
                </c:pt>
                <c:pt idx="198">
                  <c:v>589.65000000000612</c:v>
                </c:pt>
                <c:pt idx="199">
                  <c:v>588.19000000000619</c:v>
                </c:pt>
                <c:pt idx="200">
                  <c:v>586.73000000000616</c:v>
                </c:pt>
                <c:pt idx="201">
                  <c:v>585.27000000000623</c:v>
                </c:pt>
                <c:pt idx="202">
                  <c:v>583.81000000000631</c:v>
                </c:pt>
                <c:pt idx="203">
                  <c:v>582.35000000000628</c:v>
                </c:pt>
                <c:pt idx="204">
                  <c:v>580.89000000000635</c:v>
                </c:pt>
                <c:pt idx="205">
                  <c:v>579.43000000000632</c:v>
                </c:pt>
                <c:pt idx="206">
                  <c:v>577.97000000000639</c:v>
                </c:pt>
                <c:pt idx="207">
                  <c:v>576.51000000000647</c:v>
                </c:pt>
                <c:pt idx="208">
                  <c:v>575.05000000000643</c:v>
                </c:pt>
                <c:pt idx="209">
                  <c:v>573.59000000000651</c:v>
                </c:pt>
                <c:pt idx="210">
                  <c:v>572.13000000000648</c:v>
                </c:pt>
                <c:pt idx="211">
                  <c:v>570.67000000000655</c:v>
                </c:pt>
                <c:pt idx="212">
                  <c:v>569.21000000000663</c:v>
                </c:pt>
                <c:pt idx="213">
                  <c:v>567.75000000000659</c:v>
                </c:pt>
                <c:pt idx="214">
                  <c:v>566.29000000000667</c:v>
                </c:pt>
                <c:pt idx="215">
                  <c:v>564.83000000000663</c:v>
                </c:pt>
                <c:pt idx="216">
                  <c:v>563.37000000000671</c:v>
                </c:pt>
                <c:pt idx="217">
                  <c:v>561.91000000000679</c:v>
                </c:pt>
                <c:pt idx="218">
                  <c:v>560.45000000000675</c:v>
                </c:pt>
                <c:pt idx="219">
                  <c:v>558.99000000000683</c:v>
                </c:pt>
                <c:pt idx="220">
                  <c:v>557.53000000000679</c:v>
                </c:pt>
                <c:pt idx="221">
                  <c:v>556.07000000000687</c:v>
                </c:pt>
                <c:pt idx="222">
                  <c:v>554.61000000000695</c:v>
                </c:pt>
                <c:pt idx="223">
                  <c:v>553.15000000000691</c:v>
                </c:pt>
                <c:pt idx="224">
                  <c:v>551.69000000000699</c:v>
                </c:pt>
                <c:pt idx="225">
                  <c:v>550.23000000000695</c:v>
                </c:pt>
                <c:pt idx="226">
                  <c:v>548.77000000000703</c:v>
                </c:pt>
                <c:pt idx="227">
                  <c:v>547.31000000000699</c:v>
                </c:pt>
                <c:pt idx="228">
                  <c:v>545.85000000000707</c:v>
                </c:pt>
                <c:pt idx="229">
                  <c:v>544.39000000000715</c:v>
                </c:pt>
                <c:pt idx="230">
                  <c:v>542.93000000000711</c:v>
                </c:pt>
                <c:pt idx="231">
                  <c:v>541.47000000000719</c:v>
                </c:pt>
                <c:pt idx="232">
                  <c:v>540.01000000000715</c:v>
                </c:pt>
                <c:pt idx="233">
                  <c:v>538.55000000000723</c:v>
                </c:pt>
                <c:pt idx="234">
                  <c:v>537.09000000000731</c:v>
                </c:pt>
                <c:pt idx="235">
                  <c:v>535.63000000000727</c:v>
                </c:pt>
                <c:pt idx="236">
                  <c:v>534.17000000000735</c:v>
                </c:pt>
                <c:pt idx="237">
                  <c:v>532.71000000000731</c:v>
                </c:pt>
                <c:pt idx="238">
                  <c:v>531.25000000000739</c:v>
                </c:pt>
                <c:pt idx="239">
                  <c:v>529.79000000000747</c:v>
                </c:pt>
                <c:pt idx="240">
                  <c:v>528.33000000000743</c:v>
                </c:pt>
                <c:pt idx="241">
                  <c:v>526.87000000000751</c:v>
                </c:pt>
                <c:pt idx="242">
                  <c:v>525.41000000000747</c:v>
                </c:pt>
                <c:pt idx="243">
                  <c:v>523.95000000000755</c:v>
                </c:pt>
                <c:pt idx="244">
                  <c:v>522.49000000000763</c:v>
                </c:pt>
                <c:pt idx="245">
                  <c:v>521.03000000000759</c:v>
                </c:pt>
                <c:pt idx="246">
                  <c:v>519.57000000000767</c:v>
                </c:pt>
                <c:pt idx="247">
                  <c:v>518.11000000000763</c:v>
                </c:pt>
                <c:pt idx="248">
                  <c:v>516.65000000000771</c:v>
                </c:pt>
                <c:pt idx="249">
                  <c:v>515.19000000000779</c:v>
                </c:pt>
                <c:pt idx="250">
                  <c:v>513.73000000000775</c:v>
                </c:pt>
                <c:pt idx="251">
                  <c:v>511.97872340426625</c:v>
                </c:pt>
                <c:pt idx="252">
                  <c:v>509.93617021277691</c:v>
                </c:pt>
                <c:pt idx="253">
                  <c:v>507.89361702128758</c:v>
                </c:pt>
                <c:pt idx="254">
                  <c:v>505.85106382979825</c:v>
                </c:pt>
                <c:pt idx="255">
                  <c:v>503.80851063830897</c:v>
                </c:pt>
                <c:pt idx="256">
                  <c:v>501.76595744681964</c:v>
                </c:pt>
                <c:pt idx="257">
                  <c:v>499.72340425533031</c:v>
                </c:pt>
                <c:pt idx="258">
                  <c:v>497.68085106384103</c:v>
                </c:pt>
                <c:pt idx="259">
                  <c:v>495.6382978723517</c:v>
                </c:pt>
                <c:pt idx="260">
                  <c:v>493.59574468086237</c:v>
                </c:pt>
                <c:pt idx="261">
                  <c:v>491.55319148937303</c:v>
                </c:pt>
                <c:pt idx="262">
                  <c:v>489.51063829788376</c:v>
                </c:pt>
                <c:pt idx="263">
                  <c:v>487.46808510639443</c:v>
                </c:pt>
                <c:pt idx="264">
                  <c:v>485.42553191490509</c:v>
                </c:pt>
                <c:pt idx="265">
                  <c:v>483.38297872341576</c:v>
                </c:pt>
                <c:pt idx="266">
                  <c:v>481.34042553192648</c:v>
                </c:pt>
                <c:pt idx="267">
                  <c:v>479.29787234043715</c:v>
                </c:pt>
                <c:pt idx="268">
                  <c:v>477.25531914894782</c:v>
                </c:pt>
                <c:pt idx="269">
                  <c:v>475.21276595745849</c:v>
                </c:pt>
                <c:pt idx="270">
                  <c:v>473.17021276596921</c:v>
                </c:pt>
                <c:pt idx="271">
                  <c:v>471.12765957447988</c:v>
                </c:pt>
                <c:pt idx="272">
                  <c:v>469.08510638299055</c:v>
                </c:pt>
                <c:pt idx="273">
                  <c:v>467.04255319150127</c:v>
                </c:pt>
                <c:pt idx="274">
                  <c:v>465.00000000001194</c:v>
                </c:pt>
                <c:pt idx="275">
                  <c:v>462.9574468085226</c:v>
                </c:pt>
                <c:pt idx="276">
                  <c:v>460.91489361703327</c:v>
                </c:pt>
                <c:pt idx="277">
                  <c:v>458.872340425544</c:v>
                </c:pt>
                <c:pt idx="278">
                  <c:v>456.82978723405466</c:v>
                </c:pt>
                <c:pt idx="279">
                  <c:v>454.78723404256533</c:v>
                </c:pt>
                <c:pt idx="280">
                  <c:v>452.74468085107605</c:v>
                </c:pt>
                <c:pt idx="281">
                  <c:v>450.70212765958672</c:v>
                </c:pt>
                <c:pt idx="282">
                  <c:v>448.65957446809739</c:v>
                </c:pt>
                <c:pt idx="283">
                  <c:v>446.61702127660806</c:v>
                </c:pt>
                <c:pt idx="284">
                  <c:v>444.57446808511872</c:v>
                </c:pt>
                <c:pt idx="285">
                  <c:v>442.53191489362945</c:v>
                </c:pt>
                <c:pt idx="286">
                  <c:v>440.48936170214012</c:v>
                </c:pt>
                <c:pt idx="287">
                  <c:v>438.44680851065084</c:v>
                </c:pt>
                <c:pt idx="288">
                  <c:v>436.40425531916151</c:v>
                </c:pt>
                <c:pt idx="289">
                  <c:v>434.36170212767217</c:v>
                </c:pt>
                <c:pt idx="290">
                  <c:v>432.31914893618284</c:v>
                </c:pt>
                <c:pt idx="291">
                  <c:v>430.27659574469351</c:v>
                </c:pt>
                <c:pt idx="292">
                  <c:v>428.23404255320423</c:v>
                </c:pt>
                <c:pt idx="293">
                  <c:v>426.1914893617149</c:v>
                </c:pt>
                <c:pt idx="294">
                  <c:v>424.14893617022557</c:v>
                </c:pt>
                <c:pt idx="295">
                  <c:v>422.10638297873629</c:v>
                </c:pt>
                <c:pt idx="296">
                  <c:v>420.06382978724696</c:v>
                </c:pt>
                <c:pt idx="297">
                  <c:v>418.02127659575763</c:v>
                </c:pt>
                <c:pt idx="298">
                  <c:v>412.82608695657484</c:v>
                </c:pt>
                <c:pt idx="299">
                  <c:v>404.47826086961851</c:v>
                </c:pt>
                <c:pt idx="300">
                  <c:v>396.13043478266218</c:v>
                </c:pt>
                <c:pt idx="301">
                  <c:v>387.78260869570579</c:v>
                </c:pt>
                <c:pt idx="302">
                  <c:v>379.43478260874946</c:v>
                </c:pt>
                <c:pt idx="303">
                  <c:v>371.08695652179313</c:v>
                </c:pt>
                <c:pt idx="304">
                  <c:v>362.7391304348368</c:v>
                </c:pt>
                <c:pt idx="305">
                  <c:v>354.39130434788041</c:v>
                </c:pt>
                <c:pt idx="306">
                  <c:v>346.04347826092408</c:v>
                </c:pt>
                <c:pt idx="307">
                  <c:v>337.69565217396774</c:v>
                </c:pt>
                <c:pt idx="308">
                  <c:v>329.34782608701141</c:v>
                </c:pt>
                <c:pt idx="309">
                  <c:v>321.00000000005502</c:v>
                </c:pt>
                <c:pt idx="310">
                  <c:v>312.65217391309869</c:v>
                </c:pt>
                <c:pt idx="311">
                  <c:v>304.30434782614236</c:v>
                </c:pt>
                <c:pt idx="312">
                  <c:v>295.95652173918603</c:v>
                </c:pt>
                <c:pt idx="313">
                  <c:v>287.6086956522297</c:v>
                </c:pt>
                <c:pt idx="314">
                  <c:v>279.26086956527331</c:v>
                </c:pt>
                <c:pt idx="315">
                  <c:v>270.91304347831698</c:v>
                </c:pt>
                <c:pt idx="316">
                  <c:v>262.56521739136065</c:v>
                </c:pt>
                <c:pt idx="317">
                  <c:v>254.21739130440429</c:v>
                </c:pt>
                <c:pt idx="318">
                  <c:v>245.86956521744796</c:v>
                </c:pt>
                <c:pt idx="319">
                  <c:v>237.5217391304916</c:v>
                </c:pt>
                <c:pt idx="320">
                  <c:v>229.17391304353526</c:v>
                </c:pt>
                <c:pt idx="321">
                  <c:v>222.07407407411415</c:v>
                </c:pt>
                <c:pt idx="322">
                  <c:v>216.22222222226242</c:v>
                </c:pt>
                <c:pt idx="323">
                  <c:v>210.37037037041071</c:v>
                </c:pt>
                <c:pt idx="324">
                  <c:v>204.51851851855898</c:v>
                </c:pt>
                <c:pt idx="325">
                  <c:v>198.66666666670724</c:v>
                </c:pt>
                <c:pt idx="326">
                  <c:v>192.81481481485554</c:v>
                </c:pt>
                <c:pt idx="327">
                  <c:v>186.9629629630038</c:v>
                </c:pt>
                <c:pt idx="328">
                  <c:v>181.11111111115207</c:v>
                </c:pt>
                <c:pt idx="329">
                  <c:v>175.25925925930034</c:v>
                </c:pt>
                <c:pt idx="330">
                  <c:v>169.40740740744863</c:v>
                </c:pt>
                <c:pt idx="331">
                  <c:v>163.5555555555969</c:v>
                </c:pt>
                <c:pt idx="332">
                  <c:v>157.70370370374516</c:v>
                </c:pt>
                <c:pt idx="333">
                  <c:v>151.85185185189346</c:v>
                </c:pt>
                <c:pt idx="334">
                  <c:v>146.00000000004172</c:v>
                </c:pt>
                <c:pt idx="335">
                  <c:v>140.14814814818999</c:v>
                </c:pt>
                <c:pt idx="336">
                  <c:v>134.29629629633826</c:v>
                </c:pt>
                <c:pt idx="337">
                  <c:v>128.44444444448652</c:v>
                </c:pt>
                <c:pt idx="338">
                  <c:v>122.59259259263482</c:v>
                </c:pt>
                <c:pt idx="339">
                  <c:v>116.74074074078308</c:v>
                </c:pt>
                <c:pt idx="340">
                  <c:v>110.88888888893136</c:v>
                </c:pt>
                <c:pt idx="341">
                  <c:v>105.03703703707963</c:v>
                </c:pt>
                <c:pt idx="342">
                  <c:v>99.185185185227908</c:v>
                </c:pt>
                <c:pt idx="343">
                  <c:v>93.333333333376174</c:v>
                </c:pt>
                <c:pt idx="344">
                  <c:v>87.48148148152444</c:v>
                </c:pt>
                <c:pt idx="345">
                  <c:v>81.629629629672735</c:v>
                </c:pt>
                <c:pt idx="346">
                  <c:v>75.777777777821001</c:v>
                </c:pt>
                <c:pt idx="347">
                  <c:v>69.925925925969267</c:v>
                </c:pt>
                <c:pt idx="348">
                  <c:v>64.208333333374796</c:v>
                </c:pt>
                <c:pt idx="349">
                  <c:v>58.625000000041567</c:v>
                </c:pt>
                <c:pt idx="350">
                  <c:v>53.041666666708338</c:v>
                </c:pt>
                <c:pt idx="351">
                  <c:v>47.458333333375109</c:v>
                </c:pt>
                <c:pt idx="352">
                  <c:v>41.875000000041879</c:v>
                </c:pt>
                <c:pt idx="353">
                  <c:v>36.29166666670865</c:v>
                </c:pt>
                <c:pt idx="354">
                  <c:v>30.708333333375414</c:v>
                </c:pt>
                <c:pt idx="355">
                  <c:v>25.125000000042185</c:v>
                </c:pt>
                <c:pt idx="356">
                  <c:v>19.541666666708956</c:v>
                </c:pt>
                <c:pt idx="357">
                  <c:v>13.958333333375727</c:v>
                </c:pt>
                <c:pt idx="358">
                  <c:v>8.3750000000424976</c:v>
                </c:pt>
                <c:pt idx="359">
                  <c:v>2.7916666667092755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4-48D6-934B-5D8E0316888E}"/>
            </c:ext>
          </c:extLst>
        </c:ser>
        <c:ser>
          <c:idx val="2"/>
          <c:order val="1"/>
          <c:tx>
            <c:strRef>
              <c:f>Courbes!$B$135</c:f>
              <c:strCache>
                <c:ptCount val="1"/>
                <c:pt idx="0">
                  <c:v>Poids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Calculs!$T$4:$T$1004</c:f>
              <c:numCache>
                <c:formatCode>0.00</c:formatCode>
                <c:ptCount val="1001"/>
                <c:pt idx="0">
                  <c:v>65.579850000000008</c:v>
                </c:pt>
                <c:pt idx="1">
                  <c:v>65.575453598531851</c:v>
                </c:pt>
                <c:pt idx="2">
                  <c:v>65.562264394127396</c:v>
                </c:pt>
                <c:pt idx="3">
                  <c:v>65.540282386786629</c:v>
                </c:pt>
                <c:pt idx="4">
                  <c:v>65.509507576509563</c:v>
                </c:pt>
                <c:pt idx="5">
                  <c:v>65.469939963296198</c:v>
                </c:pt>
                <c:pt idx="6">
                  <c:v>65.426027915535116</c:v>
                </c:pt>
                <c:pt idx="7">
                  <c:v>65.38221980161488</c:v>
                </c:pt>
                <c:pt idx="8">
                  <c:v>65.338515621535493</c:v>
                </c:pt>
                <c:pt idx="9">
                  <c:v>65.294915375296966</c:v>
                </c:pt>
                <c:pt idx="10">
                  <c:v>65.251419062899288</c:v>
                </c:pt>
                <c:pt idx="11">
                  <c:v>65.208026684342471</c:v>
                </c:pt>
                <c:pt idx="12">
                  <c:v>65.164738239626502</c:v>
                </c:pt>
                <c:pt idx="13">
                  <c:v>65.121553728751394</c:v>
                </c:pt>
                <c:pt idx="14">
                  <c:v>65.078473151717134</c:v>
                </c:pt>
                <c:pt idx="15">
                  <c:v>65.035496508523735</c:v>
                </c:pt>
                <c:pt idx="16">
                  <c:v>64.992623799171199</c:v>
                </c:pt>
                <c:pt idx="17">
                  <c:v>64.949855023659495</c:v>
                </c:pt>
                <c:pt idx="18">
                  <c:v>64.907190181988668</c:v>
                </c:pt>
                <c:pt idx="19">
                  <c:v>64.864629274158673</c:v>
                </c:pt>
                <c:pt idx="20">
                  <c:v>64.822172300169555</c:v>
                </c:pt>
                <c:pt idx="21">
                  <c:v>64.779819260021284</c:v>
                </c:pt>
                <c:pt idx="22">
                  <c:v>64.737570153713861</c:v>
                </c:pt>
                <c:pt idx="23">
                  <c:v>64.695424981247299</c:v>
                </c:pt>
                <c:pt idx="24">
                  <c:v>64.653383742621585</c:v>
                </c:pt>
                <c:pt idx="25">
                  <c:v>64.611446437836747</c:v>
                </c:pt>
                <c:pt idx="26">
                  <c:v>64.569613066892742</c:v>
                </c:pt>
                <c:pt idx="27">
                  <c:v>64.527883629789599</c:v>
                </c:pt>
                <c:pt idx="28">
                  <c:v>64.486258126527304</c:v>
                </c:pt>
                <c:pt idx="29">
                  <c:v>64.44473655710587</c:v>
                </c:pt>
                <c:pt idx="30">
                  <c:v>64.403318921525283</c:v>
                </c:pt>
                <c:pt idx="31">
                  <c:v>64.362005219785559</c:v>
                </c:pt>
                <c:pt idx="32">
                  <c:v>64.320795451886696</c:v>
                </c:pt>
                <c:pt idx="33">
                  <c:v>64.27968961782868</c:v>
                </c:pt>
                <c:pt idx="34">
                  <c:v>64.238687717611512</c:v>
                </c:pt>
                <c:pt idx="35">
                  <c:v>64.197789751235206</c:v>
                </c:pt>
                <c:pt idx="36">
                  <c:v>64.156995718699747</c:v>
                </c:pt>
                <c:pt idx="37">
                  <c:v>64.11630562000515</c:v>
                </c:pt>
                <c:pt idx="38">
                  <c:v>64.075719455151415</c:v>
                </c:pt>
                <c:pt idx="39">
                  <c:v>64.035237224138527</c:v>
                </c:pt>
                <c:pt idx="40">
                  <c:v>63.994858926966486</c:v>
                </c:pt>
                <c:pt idx="41">
                  <c:v>63.954584563635308</c:v>
                </c:pt>
                <c:pt idx="42">
                  <c:v>63.914414134144984</c:v>
                </c:pt>
                <c:pt idx="43">
                  <c:v>63.874347638495507</c:v>
                </c:pt>
                <c:pt idx="44">
                  <c:v>63.834385076686893</c:v>
                </c:pt>
                <c:pt idx="45">
                  <c:v>63.794526448719132</c:v>
                </c:pt>
                <c:pt idx="46">
                  <c:v>63.754771754592227</c:v>
                </c:pt>
                <c:pt idx="47">
                  <c:v>63.715120994306176</c:v>
                </c:pt>
                <c:pt idx="48">
                  <c:v>63.675574167860979</c:v>
                </c:pt>
                <c:pt idx="49">
                  <c:v>63.636131275256638</c:v>
                </c:pt>
                <c:pt idx="50">
                  <c:v>63.596792316493151</c:v>
                </c:pt>
                <c:pt idx="51">
                  <c:v>63.557534371423507</c:v>
                </c:pt>
                <c:pt idx="52">
                  <c:v>63.518334519900698</c:v>
                </c:pt>
                <c:pt idx="53">
                  <c:v>63.479192761924729</c:v>
                </c:pt>
                <c:pt idx="54">
                  <c:v>63.440109097495593</c:v>
                </c:pt>
                <c:pt idx="55">
                  <c:v>63.401083526613291</c:v>
                </c:pt>
                <c:pt idx="56">
                  <c:v>63.36211604927783</c:v>
                </c:pt>
                <c:pt idx="57">
                  <c:v>63.323206665489195</c:v>
                </c:pt>
                <c:pt idx="58">
                  <c:v>63.284355375247408</c:v>
                </c:pt>
                <c:pt idx="59">
                  <c:v>63.245562178552447</c:v>
                </c:pt>
                <c:pt idx="60">
                  <c:v>63.206827075404327</c:v>
                </c:pt>
                <c:pt idx="61">
                  <c:v>63.16815006580304</c:v>
                </c:pt>
                <c:pt idx="62">
                  <c:v>63.129531149748594</c:v>
                </c:pt>
                <c:pt idx="63">
                  <c:v>63.090970327240981</c:v>
                </c:pt>
                <c:pt idx="64">
                  <c:v>63.052467598280195</c:v>
                </c:pt>
                <c:pt idx="65">
                  <c:v>63.014022962866257</c:v>
                </c:pt>
                <c:pt idx="66">
                  <c:v>62.975636420999145</c:v>
                </c:pt>
                <c:pt idx="67">
                  <c:v>62.937307972678873</c:v>
                </c:pt>
                <c:pt idx="68">
                  <c:v>62.899037617905435</c:v>
                </c:pt>
                <c:pt idx="69">
                  <c:v>62.860825356678838</c:v>
                </c:pt>
                <c:pt idx="70">
                  <c:v>62.822671188999067</c:v>
                </c:pt>
                <c:pt idx="71">
                  <c:v>62.784575114866136</c:v>
                </c:pt>
                <c:pt idx="72">
                  <c:v>62.74653713428004</c:v>
                </c:pt>
                <c:pt idx="73">
                  <c:v>62.708557247240776</c:v>
                </c:pt>
                <c:pt idx="74">
                  <c:v>62.670635453748361</c:v>
                </c:pt>
                <c:pt idx="75">
                  <c:v>62.632771753802764</c:v>
                </c:pt>
                <c:pt idx="76">
                  <c:v>62.594966147404016</c:v>
                </c:pt>
                <c:pt idx="77">
                  <c:v>62.5572186345521</c:v>
                </c:pt>
                <c:pt idx="78">
                  <c:v>62.519529215247026</c:v>
                </c:pt>
                <c:pt idx="79">
                  <c:v>62.481897889488778</c:v>
                </c:pt>
                <c:pt idx="80">
                  <c:v>62.444324657277363</c:v>
                </c:pt>
                <c:pt idx="81">
                  <c:v>62.406809518612789</c:v>
                </c:pt>
                <c:pt idx="82">
                  <c:v>62.369352473495049</c:v>
                </c:pt>
                <c:pt idx="83">
                  <c:v>62.331953521924149</c:v>
                </c:pt>
                <c:pt idx="84">
                  <c:v>62.294612663900082</c:v>
                </c:pt>
                <c:pt idx="85">
                  <c:v>62.257329899422849</c:v>
                </c:pt>
                <c:pt idx="86">
                  <c:v>62.220105228492457</c:v>
                </c:pt>
                <c:pt idx="87">
                  <c:v>62.182938651108891</c:v>
                </c:pt>
                <c:pt idx="88">
                  <c:v>62.145830167272166</c:v>
                </c:pt>
                <c:pt idx="89">
                  <c:v>62.108779776982274</c:v>
                </c:pt>
                <c:pt idx="90">
                  <c:v>62.071787480239223</c:v>
                </c:pt>
                <c:pt idx="91">
                  <c:v>62.034853277042998</c:v>
                </c:pt>
                <c:pt idx="92">
                  <c:v>61.997977167393621</c:v>
                </c:pt>
                <c:pt idx="93">
                  <c:v>61.961159151291071</c:v>
                </c:pt>
                <c:pt idx="94">
                  <c:v>61.924399228735368</c:v>
                </c:pt>
                <c:pt idx="95">
                  <c:v>61.887697399726491</c:v>
                </c:pt>
                <c:pt idx="96">
                  <c:v>61.851053664264441</c:v>
                </c:pt>
                <c:pt idx="97">
                  <c:v>61.814468022349239</c:v>
                </c:pt>
                <c:pt idx="98">
                  <c:v>61.77794047398087</c:v>
                </c:pt>
                <c:pt idx="99">
                  <c:v>61.741471019159341</c:v>
                </c:pt>
                <c:pt idx="100">
                  <c:v>61.70505965788464</c:v>
                </c:pt>
                <c:pt idx="101">
                  <c:v>61.668716728838838</c:v>
                </c:pt>
                <c:pt idx="102">
                  <c:v>61.632452570704004</c:v>
                </c:pt>
                <c:pt idx="103">
                  <c:v>61.596267183480137</c:v>
                </c:pt>
                <c:pt idx="104">
                  <c:v>61.56016056716723</c:v>
                </c:pt>
                <c:pt idx="105">
                  <c:v>61.524132721765291</c:v>
                </c:pt>
                <c:pt idx="106">
                  <c:v>61.488183647274312</c:v>
                </c:pt>
                <c:pt idx="107">
                  <c:v>61.452313343694293</c:v>
                </c:pt>
                <c:pt idx="108">
                  <c:v>61.416521811025241</c:v>
                </c:pt>
                <c:pt idx="109">
                  <c:v>61.38080904926715</c:v>
                </c:pt>
                <c:pt idx="110">
                  <c:v>61.345175058420018</c:v>
                </c:pt>
                <c:pt idx="111">
                  <c:v>61.309619838483854</c:v>
                </c:pt>
                <c:pt idx="112">
                  <c:v>61.274143389458651</c:v>
                </c:pt>
                <c:pt idx="113">
                  <c:v>61.238745711344407</c:v>
                </c:pt>
                <c:pt idx="114">
                  <c:v>61.203426804141145</c:v>
                </c:pt>
                <c:pt idx="115">
                  <c:v>61.168186667848836</c:v>
                </c:pt>
                <c:pt idx="116">
                  <c:v>61.133025302467495</c:v>
                </c:pt>
                <c:pt idx="117">
                  <c:v>61.097942707997113</c:v>
                </c:pt>
                <c:pt idx="118">
                  <c:v>61.062938884437692</c:v>
                </c:pt>
                <c:pt idx="119">
                  <c:v>61.028013831789238</c:v>
                </c:pt>
                <c:pt idx="120">
                  <c:v>60.993167550051744</c:v>
                </c:pt>
                <c:pt idx="121">
                  <c:v>60.958400039225218</c:v>
                </c:pt>
                <c:pt idx="122">
                  <c:v>60.923711299309652</c:v>
                </c:pt>
                <c:pt idx="123">
                  <c:v>60.889101330305046</c:v>
                </c:pt>
                <c:pt idx="124">
                  <c:v>60.854570132211407</c:v>
                </c:pt>
                <c:pt idx="125">
                  <c:v>60.820117705028728</c:v>
                </c:pt>
                <c:pt idx="126">
                  <c:v>60.785744048757024</c:v>
                </c:pt>
                <c:pt idx="127">
                  <c:v>60.751449163396281</c:v>
                </c:pt>
                <c:pt idx="128">
                  <c:v>60.717233048946497</c:v>
                </c:pt>
                <c:pt idx="129">
                  <c:v>60.68309570540768</c:v>
                </c:pt>
                <c:pt idx="130">
                  <c:v>60.649037132779824</c:v>
                </c:pt>
                <c:pt idx="131">
                  <c:v>60.615057331062928</c:v>
                </c:pt>
                <c:pt idx="132">
                  <c:v>60.581156300257</c:v>
                </c:pt>
                <c:pt idx="133">
                  <c:v>60.547334040362031</c:v>
                </c:pt>
                <c:pt idx="134">
                  <c:v>60.51359055137803</c:v>
                </c:pt>
                <c:pt idx="135">
                  <c:v>60.479925833304989</c:v>
                </c:pt>
                <c:pt idx="136">
                  <c:v>60.446339886142908</c:v>
                </c:pt>
                <c:pt idx="137">
                  <c:v>60.412832709891802</c:v>
                </c:pt>
                <c:pt idx="138">
                  <c:v>60.379404304551656</c:v>
                </c:pt>
                <c:pt idx="139">
                  <c:v>60.346054670122477</c:v>
                </c:pt>
                <c:pt idx="140">
                  <c:v>60.312783806604259</c:v>
                </c:pt>
                <c:pt idx="141">
                  <c:v>60.279591713997</c:v>
                </c:pt>
                <c:pt idx="142">
                  <c:v>60.246478392300709</c:v>
                </c:pt>
                <c:pt idx="143">
                  <c:v>60.213443841515378</c:v>
                </c:pt>
                <c:pt idx="144">
                  <c:v>60.180488061641007</c:v>
                </c:pt>
                <c:pt idx="145">
                  <c:v>60.147611052677604</c:v>
                </c:pt>
                <c:pt idx="146">
                  <c:v>60.114812814625161</c:v>
                </c:pt>
                <c:pt idx="147">
                  <c:v>60.082093347483678</c:v>
                </c:pt>
                <c:pt idx="148">
                  <c:v>60.049452651253162</c:v>
                </c:pt>
                <c:pt idx="149">
                  <c:v>60.016890725933621</c:v>
                </c:pt>
                <c:pt idx="150">
                  <c:v>59.984407571525033</c:v>
                </c:pt>
                <c:pt idx="151">
                  <c:v>59.951999741800059</c:v>
                </c:pt>
                <c:pt idx="152">
                  <c:v>59.919663790531338</c:v>
                </c:pt>
                <c:pt idx="153">
                  <c:v>59.887399717718871</c:v>
                </c:pt>
                <c:pt idx="154">
                  <c:v>59.855207523362651</c:v>
                </c:pt>
                <c:pt idx="155">
                  <c:v>59.823087207462692</c:v>
                </c:pt>
                <c:pt idx="156">
                  <c:v>59.791038770018993</c:v>
                </c:pt>
                <c:pt idx="157">
                  <c:v>59.759062211031541</c:v>
                </c:pt>
                <c:pt idx="158">
                  <c:v>59.727157530500342</c:v>
                </c:pt>
                <c:pt idx="159">
                  <c:v>59.695324728425391</c:v>
                </c:pt>
                <c:pt idx="160">
                  <c:v>59.663563804806707</c:v>
                </c:pt>
                <c:pt idx="161">
                  <c:v>59.631874759644276</c:v>
                </c:pt>
                <c:pt idx="162">
                  <c:v>59.600257592938092</c:v>
                </c:pt>
                <c:pt idx="163">
                  <c:v>59.568712304688162</c:v>
                </c:pt>
                <c:pt idx="164">
                  <c:v>59.537238894894486</c:v>
                </c:pt>
                <c:pt idx="165">
                  <c:v>59.505837363557077</c:v>
                </c:pt>
                <c:pt idx="166">
                  <c:v>59.474507710675915</c:v>
                </c:pt>
                <c:pt idx="167">
                  <c:v>59.443249936251</c:v>
                </c:pt>
                <c:pt idx="168">
                  <c:v>59.412064040282345</c:v>
                </c:pt>
                <c:pt idx="169">
                  <c:v>59.380950022769937</c:v>
                </c:pt>
                <c:pt idx="170">
                  <c:v>59.349907883713797</c:v>
                </c:pt>
                <c:pt idx="171">
                  <c:v>59.318937623113904</c:v>
                </c:pt>
                <c:pt idx="172">
                  <c:v>59.288039240970264</c:v>
                </c:pt>
                <c:pt idx="173">
                  <c:v>59.257212737282877</c:v>
                </c:pt>
                <c:pt idx="174">
                  <c:v>59.226458112051745</c:v>
                </c:pt>
                <c:pt idx="175">
                  <c:v>59.195775365276873</c:v>
                </c:pt>
                <c:pt idx="176">
                  <c:v>59.165164496958255</c:v>
                </c:pt>
                <c:pt idx="177">
                  <c:v>59.134625507095883</c:v>
                </c:pt>
                <c:pt idx="178">
                  <c:v>59.104158395689772</c:v>
                </c:pt>
                <c:pt idx="179">
                  <c:v>59.073763162739908</c:v>
                </c:pt>
                <c:pt idx="180">
                  <c:v>59.043439808246305</c:v>
                </c:pt>
                <c:pt idx="181">
                  <c:v>59.013188332208955</c:v>
                </c:pt>
                <c:pt idx="182">
                  <c:v>58.983008734627859</c:v>
                </c:pt>
                <c:pt idx="183">
                  <c:v>58.952901015503016</c:v>
                </c:pt>
                <c:pt idx="184">
                  <c:v>58.922865174834435</c:v>
                </c:pt>
                <c:pt idx="185">
                  <c:v>58.8929012126221</c:v>
                </c:pt>
                <c:pt idx="186">
                  <c:v>58.863009128866025</c:v>
                </c:pt>
                <c:pt idx="187">
                  <c:v>58.833188923566198</c:v>
                </c:pt>
                <c:pt idx="188">
                  <c:v>58.803440596722623</c:v>
                </c:pt>
                <c:pt idx="189">
                  <c:v>58.77376414833531</c:v>
                </c:pt>
                <c:pt idx="190">
                  <c:v>58.744159578404251</c:v>
                </c:pt>
                <c:pt idx="191">
                  <c:v>58.714626886929445</c:v>
                </c:pt>
                <c:pt idx="192">
                  <c:v>58.685166073910892</c:v>
                </c:pt>
                <c:pt idx="193">
                  <c:v>58.655777139348587</c:v>
                </c:pt>
                <c:pt idx="194">
                  <c:v>58.626460083242542</c:v>
                </c:pt>
                <c:pt idx="195">
                  <c:v>58.597214905592757</c:v>
                </c:pt>
                <c:pt idx="196">
                  <c:v>58.56804160639922</c:v>
                </c:pt>
                <c:pt idx="197">
                  <c:v>58.538940185661936</c:v>
                </c:pt>
                <c:pt idx="198">
                  <c:v>58.509910643380906</c:v>
                </c:pt>
                <c:pt idx="199">
                  <c:v>58.480952979556136</c:v>
                </c:pt>
                <c:pt idx="200">
                  <c:v>58.452067194187613</c:v>
                </c:pt>
                <c:pt idx="201">
                  <c:v>58.423253287275351</c:v>
                </c:pt>
                <c:pt idx="202">
                  <c:v>58.394511258819335</c:v>
                </c:pt>
                <c:pt idx="203">
                  <c:v>58.365841108819573</c:v>
                </c:pt>
                <c:pt idx="204">
                  <c:v>58.337242837276079</c:v>
                </c:pt>
                <c:pt idx="205">
                  <c:v>58.308716444188832</c:v>
                </c:pt>
                <c:pt idx="206">
                  <c:v>58.280261929557838</c:v>
                </c:pt>
                <c:pt idx="207">
                  <c:v>58.251879293383091</c:v>
                </c:pt>
                <c:pt idx="208">
                  <c:v>58.223568535664604</c:v>
                </c:pt>
                <c:pt idx="209">
                  <c:v>58.195329656402372</c:v>
                </c:pt>
                <c:pt idx="210">
                  <c:v>58.1671626555964</c:v>
                </c:pt>
                <c:pt idx="211">
                  <c:v>58.139067533246674</c:v>
                </c:pt>
                <c:pt idx="212">
                  <c:v>58.111044289353202</c:v>
                </c:pt>
                <c:pt idx="213">
                  <c:v>58.083092923915984</c:v>
                </c:pt>
                <c:pt idx="214">
                  <c:v>58.055213436935027</c:v>
                </c:pt>
                <c:pt idx="215">
                  <c:v>58.027405828410323</c:v>
                </c:pt>
                <c:pt idx="216">
                  <c:v>57.999670098341866</c:v>
                </c:pt>
                <c:pt idx="217">
                  <c:v>57.97200624672967</c:v>
                </c:pt>
                <c:pt idx="218">
                  <c:v>57.94441427357372</c:v>
                </c:pt>
                <c:pt idx="219">
                  <c:v>57.916894178874031</c:v>
                </c:pt>
                <c:pt idx="220">
                  <c:v>57.889445962630603</c:v>
                </c:pt>
                <c:pt idx="221">
                  <c:v>57.862069624843421</c:v>
                </c:pt>
                <c:pt idx="222">
                  <c:v>57.834765165512486</c:v>
                </c:pt>
                <c:pt idx="223">
                  <c:v>57.807532584637812</c:v>
                </c:pt>
                <c:pt idx="224">
                  <c:v>57.780371882219399</c:v>
                </c:pt>
                <c:pt idx="225">
                  <c:v>57.753283058257232</c:v>
                </c:pt>
                <c:pt idx="226">
                  <c:v>57.726266112751325</c:v>
                </c:pt>
                <c:pt idx="227">
                  <c:v>57.699321045701666</c:v>
                </c:pt>
                <c:pt idx="228">
                  <c:v>57.67244785710826</c:v>
                </c:pt>
                <c:pt idx="229">
                  <c:v>57.645646546971115</c:v>
                </c:pt>
                <c:pt idx="230">
                  <c:v>57.618917115290223</c:v>
                </c:pt>
                <c:pt idx="231">
                  <c:v>57.592259562065578</c:v>
                </c:pt>
                <c:pt idx="232">
                  <c:v>57.565673887297194</c:v>
                </c:pt>
                <c:pt idx="233">
                  <c:v>57.539160090985057</c:v>
                </c:pt>
                <c:pt idx="234">
                  <c:v>57.512718173129187</c:v>
                </c:pt>
                <c:pt idx="235">
                  <c:v>57.486348133729564</c:v>
                </c:pt>
                <c:pt idx="236">
                  <c:v>57.460049972786194</c:v>
                </c:pt>
                <c:pt idx="237">
                  <c:v>57.433823690299079</c:v>
                </c:pt>
                <c:pt idx="238">
                  <c:v>57.407669286268217</c:v>
                </c:pt>
                <c:pt idx="239">
                  <c:v>57.381586760693608</c:v>
                </c:pt>
                <c:pt idx="240">
                  <c:v>57.35557611357526</c:v>
                </c:pt>
                <c:pt idx="241">
                  <c:v>57.329637344913159</c:v>
                </c:pt>
                <c:pt idx="242">
                  <c:v>57.303770454707319</c:v>
                </c:pt>
                <c:pt idx="243">
                  <c:v>57.277975442957732</c:v>
                </c:pt>
                <c:pt idx="244">
                  <c:v>57.252252309664399</c:v>
                </c:pt>
                <c:pt idx="245">
                  <c:v>57.22660105482732</c:v>
                </c:pt>
                <c:pt idx="246">
                  <c:v>57.201021678446494</c:v>
                </c:pt>
                <c:pt idx="247">
                  <c:v>57.175514180521915</c:v>
                </c:pt>
                <c:pt idx="248">
                  <c:v>57.150078561053604</c:v>
                </c:pt>
                <c:pt idx="249">
                  <c:v>57.124714820041547</c:v>
                </c:pt>
                <c:pt idx="250">
                  <c:v>57.099422957485736</c:v>
                </c:pt>
                <c:pt idx="251">
                  <c:v>57.074217313462924</c:v>
                </c:pt>
                <c:pt idx="252">
                  <c:v>57.04911222804985</c:v>
                </c:pt>
                <c:pt idx="253">
                  <c:v>57.024107701246521</c:v>
                </c:pt>
                <c:pt idx="254">
                  <c:v>56.999203733052937</c:v>
                </c:pt>
                <c:pt idx="255">
                  <c:v>56.974400323469091</c:v>
                </c:pt>
                <c:pt idx="256">
                  <c:v>56.949697472494982</c:v>
                </c:pt>
                <c:pt idx="257">
                  <c:v>56.925095180130619</c:v>
                </c:pt>
                <c:pt idx="258">
                  <c:v>56.900593446375993</c:v>
                </c:pt>
                <c:pt idx="259">
                  <c:v>56.876192271231112</c:v>
                </c:pt>
                <c:pt idx="260">
                  <c:v>56.851891654695962</c:v>
                </c:pt>
                <c:pt idx="261">
                  <c:v>56.827691596770556</c:v>
                </c:pt>
                <c:pt idx="262">
                  <c:v>56.803592097454889</c:v>
                </c:pt>
                <c:pt idx="263">
                  <c:v>56.779593156748959</c:v>
                </c:pt>
                <c:pt idx="264">
                  <c:v>56.755694774652774</c:v>
                </c:pt>
                <c:pt idx="265">
                  <c:v>56.731896951166334</c:v>
                </c:pt>
                <c:pt idx="266">
                  <c:v>56.708199686289632</c:v>
                </c:pt>
                <c:pt idx="267">
                  <c:v>56.684602980022667</c:v>
                </c:pt>
                <c:pt idx="268">
                  <c:v>56.661106832365448</c:v>
                </c:pt>
                <c:pt idx="269">
                  <c:v>56.637711243317966</c:v>
                </c:pt>
                <c:pt idx="270">
                  <c:v>56.614416212880229</c:v>
                </c:pt>
                <c:pt idx="271">
                  <c:v>56.591221741052237</c:v>
                </c:pt>
                <c:pt idx="272">
                  <c:v>56.568127827833983</c:v>
                </c:pt>
                <c:pt idx="273">
                  <c:v>56.545134473225467</c:v>
                </c:pt>
                <c:pt idx="274">
                  <c:v>56.522241677226695</c:v>
                </c:pt>
                <c:pt idx="275">
                  <c:v>56.499449439837662</c:v>
                </c:pt>
                <c:pt idx="276">
                  <c:v>56.476757761058359</c:v>
                </c:pt>
                <c:pt idx="277">
                  <c:v>56.454166640888801</c:v>
                </c:pt>
                <c:pt idx="278">
                  <c:v>56.431676079328987</c:v>
                </c:pt>
                <c:pt idx="279">
                  <c:v>56.409286076378912</c:v>
                </c:pt>
                <c:pt idx="280">
                  <c:v>56.386996632038574</c:v>
                </c:pt>
                <c:pt idx="281">
                  <c:v>56.364807746307982</c:v>
                </c:pt>
                <c:pt idx="282">
                  <c:v>56.342719419187134</c:v>
                </c:pt>
                <c:pt idx="283">
                  <c:v>56.320731650676024</c:v>
                </c:pt>
                <c:pt idx="284">
                  <c:v>56.298844440774651</c:v>
                </c:pt>
                <c:pt idx="285">
                  <c:v>56.277057789483024</c:v>
                </c:pt>
                <c:pt idx="286">
                  <c:v>56.255371696801134</c:v>
                </c:pt>
                <c:pt idx="287">
                  <c:v>56.23378616272899</c:v>
                </c:pt>
                <c:pt idx="288">
                  <c:v>56.212301187266583</c:v>
                </c:pt>
                <c:pt idx="289">
                  <c:v>56.190916770413921</c:v>
                </c:pt>
                <c:pt idx="290">
                  <c:v>56.169632912170997</c:v>
                </c:pt>
                <c:pt idx="291">
                  <c:v>56.148449612537817</c:v>
                </c:pt>
                <c:pt idx="292">
                  <c:v>56.127366871514376</c:v>
                </c:pt>
                <c:pt idx="293">
                  <c:v>56.106384689100672</c:v>
                </c:pt>
                <c:pt idx="294">
                  <c:v>56.085503065296706</c:v>
                </c:pt>
                <c:pt idx="295">
                  <c:v>56.064722000102478</c:v>
                </c:pt>
                <c:pt idx="296">
                  <c:v>56.044041493517994</c:v>
                </c:pt>
                <c:pt idx="297">
                  <c:v>56.023461545543249</c:v>
                </c:pt>
                <c:pt idx="298">
                  <c:v>56.003137366206332</c:v>
                </c:pt>
                <c:pt idx="299">
                  <c:v>55.983224165535304</c:v>
                </c:pt>
                <c:pt idx="300">
                  <c:v>55.963721943530174</c:v>
                </c:pt>
                <c:pt idx="301">
                  <c:v>55.944630700190935</c:v>
                </c:pt>
                <c:pt idx="302">
                  <c:v>55.925950435517599</c:v>
                </c:pt>
                <c:pt idx="303">
                  <c:v>55.907681149510161</c:v>
                </c:pt>
                <c:pt idx="304">
                  <c:v>55.88982284216862</c:v>
                </c:pt>
                <c:pt idx="305">
                  <c:v>55.872375513492969</c:v>
                </c:pt>
                <c:pt idx="306">
                  <c:v>55.855339163483222</c:v>
                </c:pt>
                <c:pt idx="307">
                  <c:v>55.838713792139366</c:v>
                </c:pt>
                <c:pt idx="308">
                  <c:v>55.822499399461414</c:v>
                </c:pt>
                <c:pt idx="309">
                  <c:v>55.806695985449352</c:v>
                </c:pt>
                <c:pt idx="310">
                  <c:v>55.791303550103187</c:v>
                </c:pt>
                <c:pt idx="311">
                  <c:v>55.77632209342292</c:v>
                </c:pt>
                <c:pt idx="312">
                  <c:v>55.761751615408556</c:v>
                </c:pt>
                <c:pt idx="313">
                  <c:v>55.747592116060076</c:v>
                </c:pt>
                <c:pt idx="314">
                  <c:v>55.733843595377508</c:v>
                </c:pt>
                <c:pt idx="315">
                  <c:v>55.720506053360822</c:v>
                </c:pt>
                <c:pt idx="316">
                  <c:v>55.707579490010041</c:v>
                </c:pt>
                <c:pt idx="317">
                  <c:v>55.695063905325156</c:v>
                </c:pt>
                <c:pt idx="318">
                  <c:v>55.682959299306169</c:v>
                </c:pt>
                <c:pt idx="319">
                  <c:v>55.671265671953073</c:v>
                </c:pt>
                <c:pt idx="320">
                  <c:v>55.65998302326588</c:v>
                </c:pt>
                <c:pt idx="321">
                  <c:v>55.649049912568252</c:v>
                </c:pt>
                <c:pt idx="322">
                  <c:v>55.638404899183875</c:v>
                </c:pt>
                <c:pt idx="323">
                  <c:v>55.628047983112751</c:v>
                </c:pt>
                <c:pt idx="324">
                  <c:v>55.617979164354864</c:v>
                </c:pt>
                <c:pt idx="325">
                  <c:v>55.608198442910229</c:v>
                </c:pt>
                <c:pt idx="326">
                  <c:v>55.598705818778832</c:v>
                </c:pt>
                <c:pt idx="327">
                  <c:v>55.589501291960687</c:v>
                </c:pt>
                <c:pt idx="328">
                  <c:v>55.580584862455787</c:v>
                </c:pt>
                <c:pt idx="329">
                  <c:v>55.571956530264131</c:v>
                </c:pt>
                <c:pt idx="330">
                  <c:v>55.563616295385721</c:v>
                </c:pt>
                <c:pt idx="331">
                  <c:v>55.555564157820555</c:v>
                </c:pt>
                <c:pt idx="332">
                  <c:v>55.547800117568634</c:v>
                </c:pt>
                <c:pt idx="333">
                  <c:v>55.540324174629966</c:v>
                </c:pt>
                <c:pt idx="334">
                  <c:v>55.533136329004535</c:v>
                </c:pt>
                <c:pt idx="335">
                  <c:v>55.526236580692355</c:v>
                </c:pt>
                <c:pt idx="336">
                  <c:v>55.519624929693428</c:v>
                </c:pt>
                <c:pt idx="337">
                  <c:v>55.513301376007746</c:v>
                </c:pt>
                <c:pt idx="338">
                  <c:v>55.507265919635309</c:v>
                </c:pt>
                <c:pt idx="339">
                  <c:v>55.501518560576116</c:v>
                </c:pt>
                <c:pt idx="340">
                  <c:v>55.496059298830176</c:v>
                </c:pt>
                <c:pt idx="341">
                  <c:v>55.490888134397473</c:v>
                </c:pt>
                <c:pt idx="342">
                  <c:v>55.486005067278022</c:v>
                </c:pt>
                <c:pt idx="343">
                  <c:v>55.481410097471809</c:v>
                </c:pt>
                <c:pt idx="344">
                  <c:v>55.477103224978848</c:v>
                </c:pt>
                <c:pt idx="345">
                  <c:v>55.473084449799131</c:v>
                </c:pt>
                <c:pt idx="346">
                  <c:v>55.46935377193266</c:v>
                </c:pt>
                <c:pt idx="347">
                  <c:v>55.465911191379433</c:v>
                </c:pt>
                <c:pt idx="348">
                  <c:v>55.462750098311858</c:v>
                </c:pt>
                <c:pt idx="349">
                  <c:v>55.459863882902333</c:v>
                </c:pt>
                <c:pt idx="350">
                  <c:v>55.457252545150858</c:v>
                </c:pt>
                <c:pt idx="351">
                  <c:v>55.454916085057434</c:v>
                </c:pt>
                <c:pt idx="352">
                  <c:v>55.45285450262206</c:v>
                </c:pt>
                <c:pt idx="353">
                  <c:v>55.451067797844729</c:v>
                </c:pt>
                <c:pt idx="354">
                  <c:v>55.449555970725456</c:v>
                </c:pt>
                <c:pt idx="355">
                  <c:v>55.448319021264226</c:v>
                </c:pt>
                <c:pt idx="356">
                  <c:v>55.447356949461046</c:v>
                </c:pt>
                <c:pt idx="357">
                  <c:v>55.446669755315924</c:v>
                </c:pt>
                <c:pt idx="358">
                  <c:v>55.446257438828844</c:v>
                </c:pt>
                <c:pt idx="359">
                  <c:v>55.446119999999816</c:v>
                </c:pt>
                <c:pt idx="360">
                  <c:v>55.446119999999816</c:v>
                </c:pt>
                <c:pt idx="361">
                  <c:v>55.446119999999816</c:v>
                </c:pt>
                <c:pt idx="362">
                  <c:v>55.446119999999816</c:v>
                </c:pt>
                <c:pt idx="363">
                  <c:v>55.446119999999816</c:v>
                </c:pt>
                <c:pt idx="364">
                  <c:v>55.446119999999816</c:v>
                </c:pt>
                <c:pt idx="365">
                  <c:v>55.446119999999816</c:v>
                </c:pt>
                <c:pt idx="366">
                  <c:v>55.446119999999816</c:v>
                </c:pt>
                <c:pt idx="367">
                  <c:v>55.446119999999816</c:v>
                </c:pt>
                <c:pt idx="368">
                  <c:v>55.446119999999816</c:v>
                </c:pt>
                <c:pt idx="369">
                  <c:v>55.446119999999816</c:v>
                </c:pt>
                <c:pt idx="370">
                  <c:v>55.446119999999816</c:v>
                </c:pt>
                <c:pt idx="371">
                  <c:v>55.446119999999816</c:v>
                </c:pt>
                <c:pt idx="372">
                  <c:v>55.446119999999816</c:v>
                </c:pt>
                <c:pt idx="373">
                  <c:v>55.446119999999816</c:v>
                </c:pt>
                <c:pt idx="374">
                  <c:v>55.446119999999816</c:v>
                </c:pt>
                <c:pt idx="375">
                  <c:v>55.446119999999816</c:v>
                </c:pt>
                <c:pt idx="376">
                  <c:v>55.446119999999816</c:v>
                </c:pt>
                <c:pt idx="377">
                  <c:v>55.446119999999816</c:v>
                </c:pt>
                <c:pt idx="378">
                  <c:v>55.446119999999816</c:v>
                </c:pt>
                <c:pt idx="379">
                  <c:v>55.446119999999816</c:v>
                </c:pt>
                <c:pt idx="380">
                  <c:v>55.446119999999816</c:v>
                </c:pt>
                <c:pt idx="381">
                  <c:v>55.446119999999816</c:v>
                </c:pt>
                <c:pt idx="382">
                  <c:v>55.446119999999816</c:v>
                </c:pt>
                <c:pt idx="383">
                  <c:v>55.446119999999816</c:v>
                </c:pt>
                <c:pt idx="384">
                  <c:v>55.446119999999816</c:v>
                </c:pt>
                <c:pt idx="385">
                  <c:v>55.446119999999816</c:v>
                </c:pt>
                <c:pt idx="386">
                  <c:v>55.446119999999816</c:v>
                </c:pt>
                <c:pt idx="387">
                  <c:v>55.446119999999816</c:v>
                </c:pt>
                <c:pt idx="388">
                  <c:v>55.446119999999816</c:v>
                </c:pt>
                <c:pt idx="389">
                  <c:v>55.446119999999816</c:v>
                </c:pt>
                <c:pt idx="390">
                  <c:v>55.446119999999816</c:v>
                </c:pt>
                <c:pt idx="391">
                  <c:v>55.446119999999816</c:v>
                </c:pt>
                <c:pt idx="392">
                  <c:v>55.446119999999816</c:v>
                </c:pt>
                <c:pt idx="393">
                  <c:v>55.446119999999816</c:v>
                </c:pt>
                <c:pt idx="394">
                  <c:v>55.446119999999816</c:v>
                </c:pt>
                <c:pt idx="395">
                  <c:v>55.446119999999816</c:v>
                </c:pt>
                <c:pt idx="396">
                  <c:v>55.446119999999816</c:v>
                </c:pt>
                <c:pt idx="397">
                  <c:v>55.446119999999816</c:v>
                </c:pt>
                <c:pt idx="398">
                  <c:v>55.446119999999816</c:v>
                </c:pt>
                <c:pt idx="399">
                  <c:v>55.446119999999816</c:v>
                </c:pt>
                <c:pt idx="400">
                  <c:v>55.446119999999816</c:v>
                </c:pt>
                <c:pt idx="401">
                  <c:v>55.446119999999816</c:v>
                </c:pt>
                <c:pt idx="402">
                  <c:v>55.446119999999816</c:v>
                </c:pt>
                <c:pt idx="403">
                  <c:v>55.446119999999816</c:v>
                </c:pt>
                <c:pt idx="404">
                  <c:v>55.446119999999816</c:v>
                </c:pt>
                <c:pt idx="405">
                  <c:v>55.446119999999816</c:v>
                </c:pt>
                <c:pt idx="406">
                  <c:v>55.446119999999816</c:v>
                </c:pt>
                <c:pt idx="407">
                  <c:v>55.446119999999816</c:v>
                </c:pt>
                <c:pt idx="408">
                  <c:v>55.446119999999816</c:v>
                </c:pt>
                <c:pt idx="409">
                  <c:v>55.446119999999816</c:v>
                </c:pt>
                <c:pt idx="410">
                  <c:v>55.446119999999816</c:v>
                </c:pt>
                <c:pt idx="411">
                  <c:v>55.446119999999816</c:v>
                </c:pt>
                <c:pt idx="412">
                  <c:v>55.446119999999816</c:v>
                </c:pt>
                <c:pt idx="413">
                  <c:v>55.446119999999816</c:v>
                </c:pt>
                <c:pt idx="414">
                  <c:v>55.446119999999816</c:v>
                </c:pt>
                <c:pt idx="415">
                  <c:v>55.446119999999816</c:v>
                </c:pt>
                <c:pt idx="416">
                  <c:v>55.446119999999816</c:v>
                </c:pt>
                <c:pt idx="417">
                  <c:v>55.446119999999816</c:v>
                </c:pt>
                <c:pt idx="418">
                  <c:v>55.446119999999816</c:v>
                </c:pt>
                <c:pt idx="419">
                  <c:v>55.446119999999816</c:v>
                </c:pt>
                <c:pt idx="420">
                  <c:v>55.446119999999816</c:v>
                </c:pt>
                <c:pt idx="421">
                  <c:v>55.446119999999816</c:v>
                </c:pt>
                <c:pt idx="422">
                  <c:v>55.446119999999816</c:v>
                </c:pt>
                <c:pt idx="423">
                  <c:v>55.446119999999816</c:v>
                </c:pt>
                <c:pt idx="424">
                  <c:v>55.446119999999816</c:v>
                </c:pt>
                <c:pt idx="425">
                  <c:v>55.446119999999816</c:v>
                </c:pt>
                <c:pt idx="426">
                  <c:v>55.446119999999816</c:v>
                </c:pt>
                <c:pt idx="427">
                  <c:v>55.446119999999816</c:v>
                </c:pt>
                <c:pt idx="428">
                  <c:v>55.446119999999816</c:v>
                </c:pt>
                <c:pt idx="429">
                  <c:v>55.446119999999816</c:v>
                </c:pt>
                <c:pt idx="430">
                  <c:v>55.446119999999816</c:v>
                </c:pt>
                <c:pt idx="431">
                  <c:v>55.446119999999816</c:v>
                </c:pt>
                <c:pt idx="432">
                  <c:v>55.446119999999816</c:v>
                </c:pt>
                <c:pt idx="433">
                  <c:v>55.446119999999816</c:v>
                </c:pt>
                <c:pt idx="434">
                  <c:v>55.446119999999816</c:v>
                </c:pt>
                <c:pt idx="435">
                  <c:v>55.446119999999816</c:v>
                </c:pt>
                <c:pt idx="436">
                  <c:v>55.446119999999816</c:v>
                </c:pt>
                <c:pt idx="437">
                  <c:v>55.446119999999816</c:v>
                </c:pt>
                <c:pt idx="438">
                  <c:v>55.446119999999816</c:v>
                </c:pt>
                <c:pt idx="439">
                  <c:v>55.446119999999816</c:v>
                </c:pt>
                <c:pt idx="440">
                  <c:v>55.446119999999816</c:v>
                </c:pt>
                <c:pt idx="441">
                  <c:v>55.446119999999816</c:v>
                </c:pt>
                <c:pt idx="442">
                  <c:v>55.446119999999816</c:v>
                </c:pt>
                <c:pt idx="443">
                  <c:v>55.446119999999816</c:v>
                </c:pt>
                <c:pt idx="444">
                  <c:v>55.446119999999816</c:v>
                </c:pt>
                <c:pt idx="445">
                  <c:v>55.446119999999816</c:v>
                </c:pt>
                <c:pt idx="446">
                  <c:v>55.446119999999816</c:v>
                </c:pt>
                <c:pt idx="447">
                  <c:v>55.446119999999816</c:v>
                </c:pt>
                <c:pt idx="448">
                  <c:v>55.446119999999816</c:v>
                </c:pt>
                <c:pt idx="449">
                  <c:v>55.446119999999816</c:v>
                </c:pt>
                <c:pt idx="450">
                  <c:v>55.446119999999816</c:v>
                </c:pt>
                <c:pt idx="451">
                  <c:v>55.446119999999816</c:v>
                </c:pt>
                <c:pt idx="452">
                  <c:v>55.446119999999816</c:v>
                </c:pt>
                <c:pt idx="453">
                  <c:v>55.446119999999816</c:v>
                </c:pt>
                <c:pt idx="454">
                  <c:v>55.446119999999816</c:v>
                </c:pt>
                <c:pt idx="455">
                  <c:v>55.446119999999816</c:v>
                </c:pt>
                <c:pt idx="456">
                  <c:v>55.446119999999816</c:v>
                </c:pt>
                <c:pt idx="457">
                  <c:v>55.446119999999816</c:v>
                </c:pt>
                <c:pt idx="458">
                  <c:v>55.446119999999816</c:v>
                </c:pt>
                <c:pt idx="459">
                  <c:v>55.446119999999816</c:v>
                </c:pt>
                <c:pt idx="460">
                  <c:v>55.446119999999816</c:v>
                </c:pt>
                <c:pt idx="461">
                  <c:v>55.446119999999816</c:v>
                </c:pt>
                <c:pt idx="462">
                  <c:v>55.446119999999816</c:v>
                </c:pt>
                <c:pt idx="463">
                  <c:v>55.446119999999816</c:v>
                </c:pt>
                <c:pt idx="464">
                  <c:v>55.446119999999816</c:v>
                </c:pt>
                <c:pt idx="465">
                  <c:v>55.446119999999816</c:v>
                </c:pt>
                <c:pt idx="466">
                  <c:v>55.446119999999816</c:v>
                </c:pt>
                <c:pt idx="467">
                  <c:v>55.446119999999816</c:v>
                </c:pt>
                <c:pt idx="468">
                  <c:v>55.446119999999816</c:v>
                </c:pt>
                <c:pt idx="469">
                  <c:v>55.446119999999816</c:v>
                </c:pt>
                <c:pt idx="470">
                  <c:v>55.446119999999816</c:v>
                </c:pt>
                <c:pt idx="471">
                  <c:v>55.446119999999816</c:v>
                </c:pt>
                <c:pt idx="472">
                  <c:v>55.446119999999816</c:v>
                </c:pt>
                <c:pt idx="473">
                  <c:v>55.446119999999816</c:v>
                </c:pt>
                <c:pt idx="474">
                  <c:v>55.446119999999816</c:v>
                </c:pt>
                <c:pt idx="475">
                  <c:v>55.446119999999816</c:v>
                </c:pt>
                <c:pt idx="476">
                  <c:v>55.446119999999816</c:v>
                </c:pt>
                <c:pt idx="477">
                  <c:v>55.446119999999816</c:v>
                </c:pt>
                <c:pt idx="478">
                  <c:v>55.446119999999816</c:v>
                </c:pt>
                <c:pt idx="479">
                  <c:v>55.446119999999816</c:v>
                </c:pt>
                <c:pt idx="480">
                  <c:v>55.446119999999816</c:v>
                </c:pt>
                <c:pt idx="481">
                  <c:v>55.446119999999816</c:v>
                </c:pt>
                <c:pt idx="482">
                  <c:v>55.446119999999816</c:v>
                </c:pt>
                <c:pt idx="483">
                  <c:v>55.446119999999816</c:v>
                </c:pt>
                <c:pt idx="484">
                  <c:v>55.446119999999816</c:v>
                </c:pt>
                <c:pt idx="485">
                  <c:v>55.446119999999816</c:v>
                </c:pt>
                <c:pt idx="486">
                  <c:v>55.446119999999816</c:v>
                </c:pt>
                <c:pt idx="487">
                  <c:v>55.446119999999816</c:v>
                </c:pt>
                <c:pt idx="488">
                  <c:v>55.446119999999816</c:v>
                </c:pt>
                <c:pt idx="489">
                  <c:v>55.446119999999816</c:v>
                </c:pt>
                <c:pt idx="490">
                  <c:v>55.446119999999816</c:v>
                </c:pt>
                <c:pt idx="491">
                  <c:v>55.446119999999816</c:v>
                </c:pt>
                <c:pt idx="492">
                  <c:v>55.446119999999816</c:v>
                </c:pt>
                <c:pt idx="493">
                  <c:v>55.446119999999816</c:v>
                </c:pt>
                <c:pt idx="494">
                  <c:v>55.446119999999816</c:v>
                </c:pt>
                <c:pt idx="495">
                  <c:v>55.446119999999816</c:v>
                </c:pt>
                <c:pt idx="496">
                  <c:v>55.446119999999816</c:v>
                </c:pt>
                <c:pt idx="497">
                  <c:v>55.446119999999816</c:v>
                </c:pt>
                <c:pt idx="498">
                  <c:v>55.446119999999816</c:v>
                </c:pt>
                <c:pt idx="499">
                  <c:v>55.446119999999816</c:v>
                </c:pt>
                <c:pt idx="500">
                  <c:v>55.446119999999816</c:v>
                </c:pt>
                <c:pt idx="501">
                  <c:v>55.446119999999816</c:v>
                </c:pt>
                <c:pt idx="502">
                  <c:v>55.446119999999816</c:v>
                </c:pt>
                <c:pt idx="503">
                  <c:v>55.446119999999816</c:v>
                </c:pt>
                <c:pt idx="504">
                  <c:v>55.446119999999816</c:v>
                </c:pt>
                <c:pt idx="505">
                  <c:v>55.446119999999816</c:v>
                </c:pt>
                <c:pt idx="506">
                  <c:v>55.446119999999816</c:v>
                </c:pt>
                <c:pt idx="507">
                  <c:v>55.446119999999816</c:v>
                </c:pt>
                <c:pt idx="508">
                  <c:v>55.446119999999816</c:v>
                </c:pt>
                <c:pt idx="509">
                  <c:v>55.446119999999816</c:v>
                </c:pt>
                <c:pt idx="510">
                  <c:v>55.446119999999816</c:v>
                </c:pt>
                <c:pt idx="511">
                  <c:v>55.446119999999816</c:v>
                </c:pt>
                <c:pt idx="512">
                  <c:v>55.446119999999816</c:v>
                </c:pt>
                <c:pt idx="513">
                  <c:v>55.446119999999816</c:v>
                </c:pt>
                <c:pt idx="514">
                  <c:v>55.446119999999816</c:v>
                </c:pt>
                <c:pt idx="515">
                  <c:v>55.446119999999816</c:v>
                </c:pt>
                <c:pt idx="516">
                  <c:v>55.446119999999816</c:v>
                </c:pt>
                <c:pt idx="517">
                  <c:v>55.446119999999816</c:v>
                </c:pt>
                <c:pt idx="518">
                  <c:v>55.446119999999816</c:v>
                </c:pt>
                <c:pt idx="519">
                  <c:v>55.446119999999816</c:v>
                </c:pt>
                <c:pt idx="520">
                  <c:v>55.446119999999816</c:v>
                </c:pt>
                <c:pt idx="521">
                  <c:v>55.446119999999816</c:v>
                </c:pt>
                <c:pt idx="522">
                  <c:v>55.446119999999816</c:v>
                </c:pt>
                <c:pt idx="523">
                  <c:v>55.446119999999816</c:v>
                </c:pt>
                <c:pt idx="524">
                  <c:v>55.446119999999816</c:v>
                </c:pt>
                <c:pt idx="525">
                  <c:v>55.446119999999816</c:v>
                </c:pt>
                <c:pt idx="526">
                  <c:v>55.446119999999816</c:v>
                </c:pt>
                <c:pt idx="527">
                  <c:v>55.446119999999816</c:v>
                </c:pt>
                <c:pt idx="528">
                  <c:v>55.446119999999816</c:v>
                </c:pt>
                <c:pt idx="529">
                  <c:v>55.446119999999816</c:v>
                </c:pt>
                <c:pt idx="530">
                  <c:v>55.446119999999816</c:v>
                </c:pt>
                <c:pt idx="531">
                  <c:v>55.446119999999816</c:v>
                </c:pt>
                <c:pt idx="532">
                  <c:v>55.446119999999816</c:v>
                </c:pt>
                <c:pt idx="533">
                  <c:v>55.446119999999816</c:v>
                </c:pt>
                <c:pt idx="534">
                  <c:v>55.446119999999816</c:v>
                </c:pt>
                <c:pt idx="535">
                  <c:v>55.446119999999816</c:v>
                </c:pt>
                <c:pt idx="536">
                  <c:v>55.446119999999816</c:v>
                </c:pt>
                <c:pt idx="537">
                  <c:v>55.446119999999816</c:v>
                </c:pt>
                <c:pt idx="538">
                  <c:v>55.446119999999816</c:v>
                </c:pt>
                <c:pt idx="539">
                  <c:v>55.446119999999816</c:v>
                </c:pt>
                <c:pt idx="540">
                  <c:v>55.446119999999816</c:v>
                </c:pt>
                <c:pt idx="541">
                  <c:v>55.446119999999816</c:v>
                </c:pt>
                <c:pt idx="542">
                  <c:v>55.446119999999816</c:v>
                </c:pt>
                <c:pt idx="543">
                  <c:v>55.446119999999816</c:v>
                </c:pt>
                <c:pt idx="544">
                  <c:v>55.446119999999816</c:v>
                </c:pt>
                <c:pt idx="545">
                  <c:v>55.446119999999816</c:v>
                </c:pt>
                <c:pt idx="546">
                  <c:v>55.446119999999816</c:v>
                </c:pt>
                <c:pt idx="547">
                  <c:v>55.446119999999816</c:v>
                </c:pt>
                <c:pt idx="548">
                  <c:v>55.446119999999816</c:v>
                </c:pt>
                <c:pt idx="549">
                  <c:v>55.446119999999816</c:v>
                </c:pt>
                <c:pt idx="550">
                  <c:v>55.446119999999816</c:v>
                </c:pt>
                <c:pt idx="551">
                  <c:v>55.446119999999816</c:v>
                </c:pt>
                <c:pt idx="552">
                  <c:v>55.446119999999816</c:v>
                </c:pt>
                <c:pt idx="553">
                  <c:v>55.446119999999816</c:v>
                </c:pt>
                <c:pt idx="554">
                  <c:v>55.446119999999816</c:v>
                </c:pt>
                <c:pt idx="555">
                  <c:v>55.446119999999816</c:v>
                </c:pt>
                <c:pt idx="556">
                  <c:v>55.446119999999816</c:v>
                </c:pt>
                <c:pt idx="557">
                  <c:v>55.446119999999816</c:v>
                </c:pt>
                <c:pt idx="558">
                  <c:v>55.446119999999816</c:v>
                </c:pt>
                <c:pt idx="559">
                  <c:v>55.446119999999816</c:v>
                </c:pt>
                <c:pt idx="560">
                  <c:v>55.446119999999816</c:v>
                </c:pt>
                <c:pt idx="561">
                  <c:v>55.446119999999816</c:v>
                </c:pt>
                <c:pt idx="562">
                  <c:v>55.446119999999816</c:v>
                </c:pt>
                <c:pt idx="563">
                  <c:v>55.446119999999816</c:v>
                </c:pt>
                <c:pt idx="564">
                  <c:v>55.446119999999816</c:v>
                </c:pt>
                <c:pt idx="565">
                  <c:v>55.446119999999816</c:v>
                </c:pt>
                <c:pt idx="566">
                  <c:v>55.446119999999816</c:v>
                </c:pt>
                <c:pt idx="567">
                  <c:v>55.446119999999816</c:v>
                </c:pt>
                <c:pt idx="568">
                  <c:v>55.446119999999816</c:v>
                </c:pt>
                <c:pt idx="569">
                  <c:v>55.446119999999816</c:v>
                </c:pt>
                <c:pt idx="570">
                  <c:v>55.446119999999816</c:v>
                </c:pt>
                <c:pt idx="571">
                  <c:v>55.446119999999816</c:v>
                </c:pt>
                <c:pt idx="572">
                  <c:v>55.446119999999816</c:v>
                </c:pt>
                <c:pt idx="573">
                  <c:v>55.446119999999816</c:v>
                </c:pt>
                <c:pt idx="574">
                  <c:v>55.446119999999816</c:v>
                </c:pt>
                <c:pt idx="575">
                  <c:v>55.446119999999816</c:v>
                </c:pt>
                <c:pt idx="576">
                  <c:v>55.446119999999816</c:v>
                </c:pt>
                <c:pt idx="577">
                  <c:v>55.446119999999816</c:v>
                </c:pt>
                <c:pt idx="578">
                  <c:v>55.446119999999816</c:v>
                </c:pt>
                <c:pt idx="579">
                  <c:v>55.446119999999816</c:v>
                </c:pt>
                <c:pt idx="580">
                  <c:v>55.446119999999816</c:v>
                </c:pt>
                <c:pt idx="581">
                  <c:v>55.446119999999816</c:v>
                </c:pt>
                <c:pt idx="582">
                  <c:v>55.446119999999816</c:v>
                </c:pt>
                <c:pt idx="583">
                  <c:v>55.446119999999816</c:v>
                </c:pt>
                <c:pt idx="584">
                  <c:v>55.446119999999816</c:v>
                </c:pt>
                <c:pt idx="585">
                  <c:v>55.446119999999816</c:v>
                </c:pt>
                <c:pt idx="586">
                  <c:v>55.446119999999816</c:v>
                </c:pt>
                <c:pt idx="587">
                  <c:v>55.446119999999816</c:v>
                </c:pt>
                <c:pt idx="588">
                  <c:v>55.446119999999816</c:v>
                </c:pt>
                <c:pt idx="589">
                  <c:v>55.446119999999816</c:v>
                </c:pt>
                <c:pt idx="590">
                  <c:v>55.446119999999816</c:v>
                </c:pt>
                <c:pt idx="591">
                  <c:v>55.446119999999816</c:v>
                </c:pt>
                <c:pt idx="592">
                  <c:v>55.446119999999816</c:v>
                </c:pt>
                <c:pt idx="593">
                  <c:v>55.446119999999816</c:v>
                </c:pt>
                <c:pt idx="594">
                  <c:v>55.446119999999816</c:v>
                </c:pt>
                <c:pt idx="595">
                  <c:v>55.446119999999816</c:v>
                </c:pt>
                <c:pt idx="596">
                  <c:v>55.446119999999816</c:v>
                </c:pt>
                <c:pt idx="597">
                  <c:v>55.446119999999816</c:v>
                </c:pt>
                <c:pt idx="598">
                  <c:v>55.446119999999816</c:v>
                </c:pt>
                <c:pt idx="599">
                  <c:v>55.446119999999816</c:v>
                </c:pt>
                <c:pt idx="600">
                  <c:v>55.446119999999816</c:v>
                </c:pt>
                <c:pt idx="601">
                  <c:v>55.446119999999816</c:v>
                </c:pt>
                <c:pt idx="602">
                  <c:v>55.446119999999816</c:v>
                </c:pt>
                <c:pt idx="603">
                  <c:v>55.446119999999816</c:v>
                </c:pt>
                <c:pt idx="604">
                  <c:v>55.446119999999816</c:v>
                </c:pt>
                <c:pt idx="605">
                  <c:v>55.446119999999816</c:v>
                </c:pt>
                <c:pt idx="606">
                  <c:v>55.446119999999816</c:v>
                </c:pt>
                <c:pt idx="607">
                  <c:v>55.446119999999816</c:v>
                </c:pt>
                <c:pt idx="608">
                  <c:v>55.446119999999816</c:v>
                </c:pt>
                <c:pt idx="609">
                  <c:v>55.446119999999816</c:v>
                </c:pt>
                <c:pt idx="610">
                  <c:v>55.446119999999816</c:v>
                </c:pt>
                <c:pt idx="611">
                  <c:v>55.446119999999816</c:v>
                </c:pt>
                <c:pt idx="612">
                  <c:v>55.446119999999816</c:v>
                </c:pt>
                <c:pt idx="613">
                  <c:v>55.446119999999816</c:v>
                </c:pt>
                <c:pt idx="614">
                  <c:v>55.446119999999816</c:v>
                </c:pt>
                <c:pt idx="615">
                  <c:v>55.446119999999816</c:v>
                </c:pt>
                <c:pt idx="616">
                  <c:v>55.446119999999816</c:v>
                </c:pt>
                <c:pt idx="617">
                  <c:v>55.446119999999816</c:v>
                </c:pt>
                <c:pt idx="618">
                  <c:v>55.446119999999816</c:v>
                </c:pt>
                <c:pt idx="619">
                  <c:v>55.446119999999816</c:v>
                </c:pt>
                <c:pt idx="620">
                  <c:v>55.446119999999816</c:v>
                </c:pt>
                <c:pt idx="621">
                  <c:v>55.446119999999816</c:v>
                </c:pt>
                <c:pt idx="622">
                  <c:v>55.446119999999816</c:v>
                </c:pt>
                <c:pt idx="623">
                  <c:v>55.446119999999816</c:v>
                </c:pt>
                <c:pt idx="624">
                  <c:v>55.446119999999816</c:v>
                </c:pt>
                <c:pt idx="625">
                  <c:v>55.446119999999816</c:v>
                </c:pt>
                <c:pt idx="626">
                  <c:v>55.446119999999816</c:v>
                </c:pt>
                <c:pt idx="627">
                  <c:v>55.446119999999816</c:v>
                </c:pt>
                <c:pt idx="628">
                  <c:v>55.446119999999816</c:v>
                </c:pt>
                <c:pt idx="629">
                  <c:v>55.446119999999816</c:v>
                </c:pt>
                <c:pt idx="630">
                  <c:v>55.446119999999816</c:v>
                </c:pt>
                <c:pt idx="631">
                  <c:v>55.446119999999816</c:v>
                </c:pt>
                <c:pt idx="632">
                  <c:v>55.446119999999816</c:v>
                </c:pt>
                <c:pt idx="633">
                  <c:v>55.446119999999816</c:v>
                </c:pt>
                <c:pt idx="634">
                  <c:v>55.446119999999816</c:v>
                </c:pt>
                <c:pt idx="635">
                  <c:v>55.446119999999816</c:v>
                </c:pt>
                <c:pt idx="636">
                  <c:v>55.446119999999816</c:v>
                </c:pt>
                <c:pt idx="637">
                  <c:v>55.446119999999816</c:v>
                </c:pt>
                <c:pt idx="638">
                  <c:v>55.446119999999816</c:v>
                </c:pt>
                <c:pt idx="639">
                  <c:v>55.446119999999816</c:v>
                </c:pt>
                <c:pt idx="640">
                  <c:v>55.446119999999816</c:v>
                </c:pt>
                <c:pt idx="641">
                  <c:v>55.446119999999816</c:v>
                </c:pt>
                <c:pt idx="642">
                  <c:v>55.446119999999816</c:v>
                </c:pt>
                <c:pt idx="643">
                  <c:v>55.446119999999816</c:v>
                </c:pt>
                <c:pt idx="644">
                  <c:v>55.446119999999816</c:v>
                </c:pt>
                <c:pt idx="645">
                  <c:v>55.446119999999816</c:v>
                </c:pt>
                <c:pt idx="646">
                  <c:v>55.446119999999816</c:v>
                </c:pt>
                <c:pt idx="647">
                  <c:v>55.446119999999816</c:v>
                </c:pt>
                <c:pt idx="648">
                  <c:v>55.446119999999816</c:v>
                </c:pt>
                <c:pt idx="649">
                  <c:v>55.446119999999816</c:v>
                </c:pt>
                <c:pt idx="650">
                  <c:v>55.446119999999816</c:v>
                </c:pt>
                <c:pt idx="651">
                  <c:v>55.446119999999816</c:v>
                </c:pt>
                <c:pt idx="652">
                  <c:v>55.446119999999816</c:v>
                </c:pt>
                <c:pt idx="653">
                  <c:v>55.446119999999816</c:v>
                </c:pt>
                <c:pt idx="654">
                  <c:v>55.446119999999816</c:v>
                </c:pt>
                <c:pt idx="655">
                  <c:v>55.446119999999816</c:v>
                </c:pt>
                <c:pt idx="656">
                  <c:v>55.446119999999816</c:v>
                </c:pt>
                <c:pt idx="657">
                  <c:v>55.446119999999816</c:v>
                </c:pt>
                <c:pt idx="658">
                  <c:v>55.446119999999816</c:v>
                </c:pt>
                <c:pt idx="659">
                  <c:v>55.446119999999816</c:v>
                </c:pt>
                <c:pt idx="660">
                  <c:v>55.446119999999816</c:v>
                </c:pt>
                <c:pt idx="661">
                  <c:v>55.446119999999816</c:v>
                </c:pt>
                <c:pt idx="662">
                  <c:v>55.446119999999816</c:v>
                </c:pt>
                <c:pt idx="663">
                  <c:v>55.446119999999816</c:v>
                </c:pt>
                <c:pt idx="664">
                  <c:v>55.446119999999816</c:v>
                </c:pt>
                <c:pt idx="665">
                  <c:v>55.446119999999816</c:v>
                </c:pt>
                <c:pt idx="666">
                  <c:v>55.446119999999816</c:v>
                </c:pt>
                <c:pt idx="667">
                  <c:v>55.446119999999816</c:v>
                </c:pt>
                <c:pt idx="668">
                  <c:v>55.446119999999816</c:v>
                </c:pt>
                <c:pt idx="669">
                  <c:v>55.446119999999816</c:v>
                </c:pt>
                <c:pt idx="670">
                  <c:v>55.446119999999816</c:v>
                </c:pt>
                <c:pt idx="671">
                  <c:v>55.446119999999816</c:v>
                </c:pt>
                <c:pt idx="672">
                  <c:v>55.446119999999816</c:v>
                </c:pt>
                <c:pt idx="673">
                  <c:v>55.446119999999816</c:v>
                </c:pt>
                <c:pt idx="674">
                  <c:v>55.446119999999816</c:v>
                </c:pt>
                <c:pt idx="675">
                  <c:v>55.446119999999816</c:v>
                </c:pt>
                <c:pt idx="676">
                  <c:v>55.446119999999816</c:v>
                </c:pt>
                <c:pt idx="677">
                  <c:v>55.446119999999816</c:v>
                </c:pt>
                <c:pt idx="678">
                  <c:v>55.446119999999816</c:v>
                </c:pt>
                <c:pt idx="679">
                  <c:v>55.446119999999816</c:v>
                </c:pt>
                <c:pt idx="680">
                  <c:v>55.446119999999816</c:v>
                </c:pt>
                <c:pt idx="681">
                  <c:v>55.446119999999816</c:v>
                </c:pt>
                <c:pt idx="682">
                  <c:v>55.446119999999816</c:v>
                </c:pt>
                <c:pt idx="683">
                  <c:v>55.446119999999816</c:v>
                </c:pt>
                <c:pt idx="684">
                  <c:v>55.446119999999816</c:v>
                </c:pt>
                <c:pt idx="685">
                  <c:v>55.446119999999816</c:v>
                </c:pt>
                <c:pt idx="686">
                  <c:v>55.446119999999816</c:v>
                </c:pt>
                <c:pt idx="687">
                  <c:v>55.446119999999816</c:v>
                </c:pt>
                <c:pt idx="688">
                  <c:v>55.446119999999816</c:v>
                </c:pt>
                <c:pt idx="689">
                  <c:v>55.446119999999816</c:v>
                </c:pt>
                <c:pt idx="690">
                  <c:v>55.446119999999816</c:v>
                </c:pt>
                <c:pt idx="691">
                  <c:v>55.446119999999816</c:v>
                </c:pt>
                <c:pt idx="692">
                  <c:v>55.446119999999816</c:v>
                </c:pt>
                <c:pt idx="693">
                  <c:v>55.446119999999816</c:v>
                </c:pt>
                <c:pt idx="694">
                  <c:v>55.446119999999816</c:v>
                </c:pt>
                <c:pt idx="695">
                  <c:v>55.446119999999816</c:v>
                </c:pt>
                <c:pt idx="696">
                  <c:v>55.446119999999816</c:v>
                </c:pt>
                <c:pt idx="697">
                  <c:v>55.446119999999816</c:v>
                </c:pt>
                <c:pt idx="698">
                  <c:v>55.446119999999816</c:v>
                </c:pt>
                <c:pt idx="699">
                  <c:v>55.446119999999816</c:v>
                </c:pt>
                <c:pt idx="700">
                  <c:v>55.446119999999816</c:v>
                </c:pt>
                <c:pt idx="701">
                  <c:v>55.446119999999816</c:v>
                </c:pt>
                <c:pt idx="702">
                  <c:v>55.446119999999816</c:v>
                </c:pt>
                <c:pt idx="703">
                  <c:v>55.446119999999816</c:v>
                </c:pt>
                <c:pt idx="704">
                  <c:v>55.446119999999816</c:v>
                </c:pt>
                <c:pt idx="705">
                  <c:v>55.446119999999816</c:v>
                </c:pt>
                <c:pt idx="706">
                  <c:v>55.446119999999816</c:v>
                </c:pt>
                <c:pt idx="707">
                  <c:v>55.446119999999816</c:v>
                </c:pt>
                <c:pt idx="708">
                  <c:v>55.446119999999816</c:v>
                </c:pt>
                <c:pt idx="709">
                  <c:v>55.446119999999816</c:v>
                </c:pt>
                <c:pt idx="710">
                  <c:v>55.446119999999816</c:v>
                </c:pt>
                <c:pt idx="711">
                  <c:v>55.446119999999816</c:v>
                </c:pt>
                <c:pt idx="712">
                  <c:v>55.446119999999816</c:v>
                </c:pt>
                <c:pt idx="713">
                  <c:v>55.446119999999816</c:v>
                </c:pt>
                <c:pt idx="714">
                  <c:v>55.446119999999816</c:v>
                </c:pt>
                <c:pt idx="715">
                  <c:v>55.446119999999816</c:v>
                </c:pt>
                <c:pt idx="716">
                  <c:v>55.446119999999816</c:v>
                </c:pt>
                <c:pt idx="717">
                  <c:v>55.446119999999816</c:v>
                </c:pt>
                <c:pt idx="718">
                  <c:v>55.446119999999816</c:v>
                </c:pt>
                <c:pt idx="719">
                  <c:v>55.446119999999816</c:v>
                </c:pt>
                <c:pt idx="720">
                  <c:v>55.446119999999816</c:v>
                </c:pt>
                <c:pt idx="721">
                  <c:v>55.446119999999816</c:v>
                </c:pt>
                <c:pt idx="722">
                  <c:v>55.446119999999816</c:v>
                </c:pt>
                <c:pt idx="723">
                  <c:v>55.446119999999816</c:v>
                </c:pt>
                <c:pt idx="724">
                  <c:v>55.446119999999816</c:v>
                </c:pt>
                <c:pt idx="725">
                  <c:v>55.446119999999816</c:v>
                </c:pt>
                <c:pt idx="726">
                  <c:v>55.446119999999816</c:v>
                </c:pt>
                <c:pt idx="727">
                  <c:v>55.446119999999816</c:v>
                </c:pt>
                <c:pt idx="728">
                  <c:v>55.446119999999816</c:v>
                </c:pt>
                <c:pt idx="729">
                  <c:v>55.446119999999816</c:v>
                </c:pt>
                <c:pt idx="730">
                  <c:v>55.446119999999816</c:v>
                </c:pt>
                <c:pt idx="731">
                  <c:v>55.446119999999816</c:v>
                </c:pt>
                <c:pt idx="732">
                  <c:v>55.446119999999816</c:v>
                </c:pt>
                <c:pt idx="733">
                  <c:v>55.446119999999816</c:v>
                </c:pt>
                <c:pt idx="734">
                  <c:v>55.446119999999816</c:v>
                </c:pt>
                <c:pt idx="735">
                  <c:v>55.446119999999816</c:v>
                </c:pt>
                <c:pt idx="736">
                  <c:v>55.446119999999816</c:v>
                </c:pt>
                <c:pt idx="737">
                  <c:v>55.446119999999816</c:v>
                </c:pt>
                <c:pt idx="738">
                  <c:v>55.446119999999816</c:v>
                </c:pt>
                <c:pt idx="739">
                  <c:v>55.446119999999816</c:v>
                </c:pt>
                <c:pt idx="740">
                  <c:v>55.446119999999816</c:v>
                </c:pt>
                <c:pt idx="741">
                  <c:v>55.446119999999816</c:v>
                </c:pt>
                <c:pt idx="742">
                  <c:v>55.446119999999816</c:v>
                </c:pt>
                <c:pt idx="743">
                  <c:v>55.446119999999816</c:v>
                </c:pt>
                <c:pt idx="744">
                  <c:v>55.446119999999816</c:v>
                </c:pt>
                <c:pt idx="745">
                  <c:v>55.446119999999816</c:v>
                </c:pt>
                <c:pt idx="746">
                  <c:v>55.446119999999816</c:v>
                </c:pt>
                <c:pt idx="747">
                  <c:v>55.446119999999816</c:v>
                </c:pt>
                <c:pt idx="748">
                  <c:v>55.446119999999816</c:v>
                </c:pt>
                <c:pt idx="749">
                  <c:v>55.446119999999816</c:v>
                </c:pt>
                <c:pt idx="750">
                  <c:v>55.446119999999816</c:v>
                </c:pt>
                <c:pt idx="751">
                  <c:v>55.446119999999816</c:v>
                </c:pt>
                <c:pt idx="752">
                  <c:v>55.446119999999816</c:v>
                </c:pt>
                <c:pt idx="753">
                  <c:v>55.446119999999816</c:v>
                </c:pt>
                <c:pt idx="754">
                  <c:v>55.446119999999816</c:v>
                </c:pt>
                <c:pt idx="755">
                  <c:v>55.446119999999816</c:v>
                </c:pt>
                <c:pt idx="756">
                  <c:v>55.446119999999816</c:v>
                </c:pt>
                <c:pt idx="757">
                  <c:v>55.446119999999816</c:v>
                </c:pt>
                <c:pt idx="758">
                  <c:v>55.446119999999816</c:v>
                </c:pt>
                <c:pt idx="759">
                  <c:v>55.446119999999816</c:v>
                </c:pt>
                <c:pt idx="760">
                  <c:v>55.446119999999816</c:v>
                </c:pt>
                <c:pt idx="761">
                  <c:v>55.446119999999816</c:v>
                </c:pt>
                <c:pt idx="762">
                  <c:v>55.446119999999816</c:v>
                </c:pt>
                <c:pt idx="763">
                  <c:v>55.446119999999816</c:v>
                </c:pt>
                <c:pt idx="764">
                  <c:v>55.446119999999816</c:v>
                </c:pt>
                <c:pt idx="765">
                  <c:v>55.446119999999816</c:v>
                </c:pt>
                <c:pt idx="766">
                  <c:v>55.446119999999816</c:v>
                </c:pt>
                <c:pt idx="767">
                  <c:v>55.446119999999816</c:v>
                </c:pt>
                <c:pt idx="768">
                  <c:v>55.446119999999816</c:v>
                </c:pt>
                <c:pt idx="769">
                  <c:v>55.446119999999816</c:v>
                </c:pt>
                <c:pt idx="770">
                  <c:v>55.446119999999816</c:v>
                </c:pt>
                <c:pt idx="771">
                  <c:v>55.446119999999816</c:v>
                </c:pt>
                <c:pt idx="772">
                  <c:v>55.446119999999816</c:v>
                </c:pt>
                <c:pt idx="773">
                  <c:v>55.446119999999816</c:v>
                </c:pt>
                <c:pt idx="774">
                  <c:v>55.446119999999816</c:v>
                </c:pt>
                <c:pt idx="775">
                  <c:v>55.446119999999816</c:v>
                </c:pt>
                <c:pt idx="776">
                  <c:v>55.446119999999816</c:v>
                </c:pt>
                <c:pt idx="777">
                  <c:v>55.446119999999816</c:v>
                </c:pt>
                <c:pt idx="778">
                  <c:v>55.446119999999816</c:v>
                </c:pt>
                <c:pt idx="779">
                  <c:v>55.446119999999816</c:v>
                </c:pt>
                <c:pt idx="780">
                  <c:v>55.446119999999816</c:v>
                </c:pt>
                <c:pt idx="781">
                  <c:v>55.446119999999816</c:v>
                </c:pt>
                <c:pt idx="782">
                  <c:v>55.446119999999816</c:v>
                </c:pt>
                <c:pt idx="783">
                  <c:v>55.446119999999816</c:v>
                </c:pt>
                <c:pt idx="784">
                  <c:v>55.446119999999816</c:v>
                </c:pt>
                <c:pt idx="785">
                  <c:v>55.446119999999816</c:v>
                </c:pt>
                <c:pt idx="786">
                  <c:v>55.446119999999816</c:v>
                </c:pt>
                <c:pt idx="787">
                  <c:v>55.446119999999816</c:v>
                </c:pt>
                <c:pt idx="788">
                  <c:v>55.446119999999816</c:v>
                </c:pt>
                <c:pt idx="789">
                  <c:v>55.446119999999816</c:v>
                </c:pt>
                <c:pt idx="790">
                  <c:v>55.446119999999816</c:v>
                </c:pt>
                <c:pt idx="791">
                  <c:v>55.446119999999816</c:v>
                </c:pt>
                <c:pt idx="792">
                  <c:v>55.446119999999816</c:v>
                </c:pt>
                <c:pt idx="793">
                  <c:v>55.446119999999816</c:v>
                </c:pt>
                <c:pt idx="794">
                  <c:v>55.446119999999816</c:v>
                </c:pt>
                <c:pt idx="795">
                  <c:v>55.446119999999816</c:v>
                </c:pt>
                <c:pt idx="796">
                  <c:v>55.446119999999816</c:v>
                </c:pt>
                <c:pt idx="797">
                  <c:v>55.446119999999816</c:v>
                </c:pt>
                <c:pt idx="798">
                  <c:v>55.446119999999816</c:v>
                </c:pt>
                <c:pt idx="799">
                  <c:v>55.446119999999816</c:v>
                </c:pt>
                <c:pt idx="800">
                  <c:v>55.446119999999816</c:v>
                </c:pt>
                <c:pt idx="801">
                  <c:v>55.446119999999816</c:v>
                </c:pt>
                <c:pt idx="802">
                  <c:v>55.446119999999816</c:v>
                </c:pt>
                <c:pt idx="803">
                  <c:v>55.446119999999816</c:v>
                </c:pt>
                <c:pt idx="804">
                  <c:v>55.446119999999816</c:v>
                </c:pt>
                <c:pt idx="805">
                  <c:v>55.446119999999816</c:v>
                </c:pt>
                <c:pt idx="806">
                  <c:v>55.446119999999816</c:v>
                </c:pt>
                <c:pt idx="807">
                  <c:v>55.446119999999816</c:v>
                </c:pt>
                <c:pt idx="808">
                  <c:v>55.446119999999816</c:v>
                </c:pt>
                <c:pt idx="809">
                  <c:v>55.446119999999816</c:v>
                </c:pt>
                <c:pt idx="810">
                  <c:v>55.446119999999816</c:v>
                </c:pt>
                <c:pt idx="811">
                  <c:v>55.446119999999816</c:v>
                </c:pt>
                <c:pt idx="812">
                  <c:v>55.446119999999816</c:v>
                </c:pt>
                <c:pt idx="813">
                  <c:v>55.446119999999816</c:v>
                </c:pt>
                <c:pt idx="814">
                  <c:v>55.446119999999816</c:v>
                </c:pt>
                <c:pt idx="815">
                  <c:v>55.446119999999816</c:v>
                </c:pt>
                <c:pt idx="816">
                  <c:v>55.446119999999816</c:v>
                </c:pt>
                <c:pt idx="817">
                  <c:v>55.446119999999816</c:v>
                </c:pt>
                <c:pt idx="818">
                  <c:v>55.446119999999816</c:v>
                </c:pt>
                <c:pt idx="819">
                  <c:v>55.446119999999816</c:v>
                </c:pt>
                <c:pt idx="820">
                  <c:v>55.446119999999816</c:v>
                </c:pt>
                <c:pt idx="821">
                  <c:v>55.446119999999816</c:v>
                </c:pt>
                <c:pt idx="822">
                  <c:v>55.446119999999816</c:v>
                </c:pt>
                <c:pt idx="823">
                  <c:v>55.446119999999816</c:v>
                </c:pt>
                <c:pt idx="824">
                  <c:v>55.446119999999816</c:v>
                </c:pt>
                <c:pt idx="825">
                  <c:v>55.446119999999816</c:v>
                </c:pt>
                <c:pt idx="826">
                  <c:v>55.446119999999816</c:v>
                </c:pt>
                <c:pt idx="827">
                  <c:v>55.446119999999816</c:v>
                </c:pt>
                <c:pt idx="828">
                  <c:v>55.446119999999816</c:v>
                </c:pt>
                <c:pt idx="829">
                  <c:v>55.446119999999816</c:v>
                </c:pt>
                <c:pt idx="830">
                  <c:v>55.446119999999816</c:v>
                </c:pt>
                <c:pt idx="831">
                  <c:v>55.446119999999816</c:v>
                </c:pt>
                <c:pt idx="832">
                  <c:v>55.446119999999816</c:v>
                </c:pt>
                <c:pt idx="833">
                  <c:v>55.446119999999816</c:v>
                </c:pt>
                <c:pt idx="834">
                  <c:v>55.446119999999816</c:v>
                </c:pt>
                <c:pt idx="835">
                  <c:v>55.446119999999816</c:v>
                </c:pt>
                <c:pt idx="836">
                  <c:v>55.446119999999816</c:v>
                </c:pt>
                <c:pt idx="837">
                  <c:v>55.446119999999816</c:v>
                </c:pt>
                <c:pt idx="838">
                  <c:v>55.446119999999816</c:v>
                </c:pt>
                <c:pt idx="839">
                  <c:v>55.446119999999816</c:v>
                </c:pt>
                <c:pt idx="840">
                  <c:v>55.446119999999816</c:v>
                </c:pt>
                <c:pt idx="841">
                  <c:v>55.446119999999816</c:v>
                </c:pt>
                <c:pt idx="842">
                  <c:v>55.446119999999816</c:v>
                </c:pt>
                <c:pt idx="843">
                  <c:v>55.446119999999816</c:v>
                </c:pt>
                <c:pt idx="844">
                  <c:v>55.446119999999816</c:v>
                </c:pt>
                <c:pt idx="845">
                  <c:v>55.446119999999816</c:v>
                </c:pt>
                <c:pt idx="846">
                  <c:v>55.446119999999816</c:v>
                </c:pt>
                <c:pt idx="847">
                  <c:v>55.446119999999816</c:v>
                </c:pt>
                <c:pt idx="848">
                  <c:v>55.446119999999816</c:v>
                </c:pt>
                <c:pt idx="849">
                  <c:v>55.446119999999816</c:v>
                </c:pt>
                <c:pt idx="850">
                  <c:v>55.446119999999816</c:v>
                </c:pt>
                <c:pt idx="851">
                  <c:v>55.446119999999816</c:v>
                </c:pt>
                <c:pt idx="852">
                  <c:v>55.446119999999816</c:v>
                </c:pt>
                <c:pt idx="853">
                  <c:v>55.446119999999816</c:v>
                </c:pt>
                <c:pt idx="854">
                  <c:v>55.446119999999816</c:v>
                </c:pt>
                <c:pt idx="855">
                  <c:v>55.446119999999816</c:v>
                </c:pt>
                <c:pt idx="856">
                  <c:v>55.446119999999816</c:v>
                </c:pt>
                <c:pt idx="857">
                  <c:v>55.446119999999816</c:v>
                </c:pt>
                <c:pt idx="858">
                  <c:v>55.446119999999816</c:v>
                </c:pt>
                <c:pt idx="859">
                  <c:v>55.446119999999816</c:v>
                </c:pt>
                <c:pt idx="860">
                  <c:v>55.446119999999816</c:v>
                </c:pt>
                <c:pt idx="861">
                  <c:v>55.446119999999816</c:v>
                </c:pt>
                <c:pt idx="862">
                  <c:v>55.446119999999816</c:v>
                </c:pt>
                <c:pt idx="863">
                  <c:v>55.446119999999816</c:v>
                </c:pt>
                <c:pt idx="864">
                  <c:v>55.446119999999816</c:v>
                </c:pt>
                <c:pt idx="865">
                  <c:v>55.446119999999816</c:v>
                </c:pt>
                <c:pt idx="866">
                  <c:v>55.446119999999816</c:v>
                </c:pt>
                <c:pt idx="867">
                  <c:v>55.446119999999816</c:v>
                </c:pt>
                <c:pt idx="868">
                  <c:v>55.446119999999816</c:v>
                </c:pt>
                <c:pt idx="869">
                  <c:v>55.446119999999816</c:v>
                </c:pt>
                <c:pt idx="870">
                  <c:v>55.446119999999816</c:v>
                </c:pt>
                <c:pt idx="871">
                  <c:v>55.446119999999816</c:v>
                </c:pt>
                <c:pt idx="872">
                  <c:v>55.446119999999816</c:v>
                </c:pt>
                <c:pt idx="873">
                  <c:v>55.446119999999816</c:v>
                </c:pt>
                <c:pt idx="874">
                  <c:v>55.446119999999816</c:v>
                </c:pt>
                <c:pt idx="875">
                  <c:v>55.446119999999816</c:v>
                </c:pt>
                <c:pt idx="876">
                  <c:v>55.446119999999816</c:v>
                </c:pt>
                <c:pt idx="877">
                  <c:v>55.446119999999816</c:v>
                </c:pt>
                <c:pt idx="878">
                  <c:v>55.446119999999816</c:v>
                </c:pt>
                <c:pt idx="879">
                  <c:v>55.446119999999816</c:v>
                </c:pt>
                <c:pt idx="880">
                  <c:v>55.446119999999816</c:v>
                </c:pt>
                <c:pt idx="881">
                  <c:v>55.446119999999816</c:v>
                </c:pt>
                <c:pt idx="882">
                  <c:v>55.446119999999816</c:v>
                </c:pt>
                <c:pt idx="883">
                  <c:v>55.446119999999816</c:v>
                </c:pt>
                <c:pt idx="884">
                  <c:v>55.446119999999816</c:v>
                </c:pt>
                <c:pt idx="885">
                  <c:v>55.446119999999816</c:v>
                </c:pt>
                <c:pt idx="886">
                  <c:v>55.446119999999816</c:v>
                </c:pt>
                <c:pt idx="887">
                  <c:v>55.446119999999816</c:v>
                </c:pt>
                <c:pt idx="888">
                  <c:v>55.446119999999816</c:v>
                </c:pt>
                <c:pt idx="889">
                  <c:v>55.446119999999816</c:v>
                </c:pt>
                <c:pt idx="890">
                  <c:v>55.446119999999816</c:v>
                </c:pt>
                <c:pt idx="891">
                  <c:v>55.446119999999816</c:v>
                </c:pt>
                <c:pt idx="892">
                  <c:v>55.446119999999816</c:v>
                </c:pt>
                <c:pt idx="893">
                  <c:v>55.446119999999816</c:v>
                </c:pt>
                <c:pt idx="894">
                  <c:v>55.446119999999816</c:v>
                </c:pt>
                <c:pt idx="895">
                  <c:v>55.446119999999816</c:v>
                </c:pt>
                <c:pt idx="896">
                  <c:v>55.446119999999816</c:v>
                </c:pt>
                <c:pt idx="897">
                  <c:v>55.446119999999816</c:v>
                </c:pt>
                <c:pt idx="898">
                  <c:v>55.446119999999816</c:v>
                </c:pt>
                <c:pt idx="899">
                  <c:v>55.446119999999816</c:v>
                </c:pt>
                <c:pt idx="900">
                  <c:v>55.446119999999816</c:v>
                </c:pt>
                <c:pt idx="901">
                  <c:v>55.446119999999816</c:v>
                </c:pt>
                <c:pt idx="902">
                  <c:v>55.446119999999816</c:v>
                </c:pt>
                <c:pt idx="903">
                  <c:v>55.446119999999816</c:v>
                </c:pt>
                <c:pt idx="904">
                  <c:v>55.446119999999816</c:v>
                </c:pt>
                <c:pt idx="905">
                  <c:v>55.446119999999816</c:v>
                </c:pt>
                <c:pt idx="906">
                  <c:v>55.446119999999816</c:v>
                </c:pt>
                <c:pt idx="907">
                  <c:v>55.446119999999816</c:v>
                </c:pt>
                <c:pt idx="908">
                  <c:v>55.446119999999816</c:v>
                </c:pt>
                <c:pt idx="909">
                  <c:v>55.446119999999816</c:v>
                </c:pt>
                <c:pt idx="910">
                  <c:v>55.446119999999816</c:v>
                </c:pt>
                <c:pt idx="911">
                  <c:v>55.446119999999816</c:v>
                </c:pt>
                <c:pt idx="912">
                  <c:v>55.446119999999816</c:v>
                </c:pt>
                <c:pt idx="913">
                  <c:v>55.446119999999816</c:v>
                </c:pt>
                <c:pt idx="914">
                  <c:v>55.446119999999816</c:v>
                </c:pt>
                <c:pt idx="915">
                  <c:v>55.446119999999816</c:v>
                </c:pt>
                <c:pt idx="916">
                  <c:v>55.446119999999816</c:v>
                </c:pt>
                <c:pt idx="917">
                  <c:v>55.446119999999816</c:v>
                </c:pt>
                <c:pt idx="918">
                  <c:v>55.446119999999816</c:v>
                </c:pt>
                <c:pt idx="919">
                  <c:v>55.446119999999816</c:v>
                </c:pt>
                <c:pt idx="920">
                  <c:v>55.446119999999816</c:v>
                </c:pt>
                <c:pt idx="921">
                  <c:v>55.446119999999816</c:v>
                </c:pt>
                <c:pt idx="922">
                  <c:v>55.446119999999816</c:v>
                </c:pt>
                <c:pt idx="923">
                  <c:v>55.446119999999816</c:v>
                </c:pt>
                <c:pt idx="924">
                  <c:v>55.446119999999816</c:v>
                </c:pt>
                <c:pt idx="925">
                  <c:v>55.446119999999816</c:v>
                </c:pt>
                <c:pt idx="926">
                  <c:v>55.446119999999816</c:v>
                </c:pt>
                <c:pt idx="927">
                  <c:v>55.446119999999816</c:v>
                </c:pt>
                <c:pt idx="928">
                  <c:v>55.446119999999816</c:v>
                </c:pt>
                <c:pt idx="929">
                  <c:v>55.446119999999816</c:v>
                </c:pt>
                <c:pt idx="930">
                  <c:v>55.446119999999816</c:v>
                </c:pt>
                <c:pt idx="931">
                  <c:v>55.446119999999816</c:v>
                </c:pt>
                <c:pt idx="932">
                  <c:v>55.446119999999816</c:v>
                </c:pt>
                <c:pt idx="933">
                  <c:v>55.446119999999816</c:v>
                </c:pt>
                <c:pt idx="934">
                  <c:v>55.446119999999816</c:v>
                </c:pt>
                <c:pt idx="935">
                  <c:v>55.446119999999816</c:v>
                </c:pt>
                <c:pt idx="936">
                  <c:v>55.446119999999816</c:v>
                </c:pt>
                <c:pt idx="937">
                  <c:v>55.446119999999816</c:v>
                </c:pt>
                <c:pt idx="938">
                  <c:v>55.446119999999816</c:v>
                </c:pt>
                <c:pt idx="939">
                  <c:v>55.446119999999816</c:v>
                </c:pt>
                <c:pt idx="940">
                  <c:v>55.446119999999816</c:v>
                </c:pt>
                <c:pt idx="941">
                  <c:v>55.446119999999816</c:v>
                </c:pt>
                <c:pt idx="942">
                  <c:v>55.446119999999816</c:v>
                </c:pt>
                <c:pt idx="943">
                  <c:v>55.446119999999816</c:v>
                </c:pt>
                <c:pt idx="944">
                  <c:v>55.446119999999816</c:v>
                </c:pt>
                <c:pt idx="945">
                  <c:v>55.446119999999816</c:v>
                </c:pt>
                <c:pt idx="946">
                  <c:v>55.446119999999816</c:v>
                </c:pt>
                <c:pt idx="947">
                  <c:v>55.446119999999816</c:v>
                </c:pt>
                <c:pt idx="948">
                  <c:v>55.446119999999816</c:v>
                </c:pt>
                <c:pt idx="949">
                  <c:v>55.446119999999816</c:v>
                </c:pt>
                <c:pt idx="950">
                  <c:v>55.446119999999816</c:v>
                </c:pt>
                <c:pt idx="951">
                  <c:v>55.446119999999816</c:v>
                </c:pt>
                <c:pt idx="952">
                  <c:v>55.446119999999816</c:v>
                </c:pt>
                <c:pt idx="953">
                  <c:v>55.446119999999816</c:v>
                </c:pt>
                <c:pt idx="954">
                  <c:v>55.446119999999816</c:v>
                </c:pt>
                <c:pt idx="955">
                  <c:v>55.446119999999816</c:v>
                </c:pt>
                <c:pt idx="956">
                  <c:v>55.446119999999816</c:v>
                </c:pt>
                <c:pt idx="957">
                  <c:v>55.446119999999816</c:v>
                </c:pt>
                <c:pt idx="958">
                  <c:v>55.446119999999816</c:v>
                </c:pt>
                <c:pt idx="959">
                  <c:v>55.446119999999816</c:v>
                </c:pt>
                <c:pt idx="960">
                  <c:v>55.446119999999816</c:v>
                </c:pt>
                <c:pt idx="961">
                  <c:v>55.446119999999816</c:v>
                </c:pt>
                <c:pt idx="962">
                  <c:v>55.446119999999816</c:v>
                </c:pt>
                <c:pt idx="963">
                  <c:v>55.446119999999816</c:v>
                </c:pt>
                <c:pt idx="964">
                  <c:v>55.446119999999816</c:v>
                </c:pt>
                <c:pt idx="965">
                  <c:v>55.446119999999816</c:v>
                </c:pt>
                <c:pt idx="966">
                  <c:v>55.446119999999816</c:v>
                </c:pt>
                <c:pt idx="967">
                  <c:v>55.446119999999816</c:v>
                </c:pt>
                <c:pt idx="968">
                  <c:v>55.446119999999816</c:v>
                </c:pt>
                <c:pt idx="969">
                  <c:v>55.446119999999816</c:v>
                </c:pt>
                <c:pt idx="970">
                  <c:v>55.446119999999816</c:v>
                </c:pt>
                <c:pt idx="971">
                  <c:v>55.446119999999816</c:v>
                </c:pt>
                <c:pt idx="972">
                  <c:v>55.446119999999816</c:v>
                </c:pt>
                <c:pt idx="973">
                  <c:v>55.446119999999816</c:v>
                </c:pt>
                <c:pt idx="974">
                  <c:v>55.446119999999816</c:v>
                </c:pt>
                <c:pt idx="975">
                  <c:v>55.446119999999816</c:v>
                </c:pt>
                <c:pt idx="976">
                  <c:v>55.446119999999816</c:v>
                </c:pt>
                <c:pt idx="977">
                  <c:v>55.446119999999816</c:v>
                </c:pt>
                <c:pt idx="978">
                  <c:v>55.446119999999816</c:v>
                </c:pt>
                <c:pt idx="979">
                  <c:v>55.446119999999816</c:v>
                </c:pt>
                <c:pt idx="980">
                  <c:v>55.446119999999816</c:v>
                </c:pt>
                <c:pt idx="981">
                  <c:v>55.446119999999816</c:v>
                </c:pt>
                <c:pt idx="982">
                  <c:v>55.446119999999816</c:v>
                </c:pt>
                <c:pt idx="983">
                  <c:v>55.446119999999816</c:v>
                </c:pt>
                <c:pt idx="984">
                  <c:v>55.446119999999816</c:v>
                </c:pt>
                <c:pt idx="985">
                  <c:v>55.446119999999816</c:v>
                </c:pt>
                <c:pt idx="986">
                  <c:v>55.446119999999816</c:v>
                </c:pt>
                <c:pt idx="987">
                  <c:v>55.446119999999816</c:v>
                </c:pt>
                <c:pt idx="988">
                  <c:v>55.446119999999816</c:v>
                </c:pt>
                <c:pt idx="989">
                  <c:v>55.446119999999816</c:v>
                </c:pt>
                <c:pt idx="990">
                  <c:v>55.446119999999816</c:v>
                </c:pt>
                <c:pt idx="991">
                  <c:v>55.446119999999816</c:v>
                </c:pt>
                <c:pt idx="992">
                  <c:v>55.446119999999816</c:v>
                </c:pt>
                <c:pt idx="993">
                  <c:v>55.446119999999816</c:v>
                </c:pt>
                <c:pt idx="994">
                  <c:v>55.446119999999816</c:v>
                </c:pt>
                <c:pt idx="995">
                  <c:v>55.446119999999816</c:v>
                </c:pt>
                <c:pt idx="996">
                  <c:v>55.446119999999816</c:v>
                </c:pt>
                <c:pt idx="997">
                  <c:v>55.446119999999816</c:v>
                </c:pt>
                <c:pt idx="998">
                  <c:v>55.446119999999816</c:v>
                </c:pt>
                <c:pt idx="999">
                  <c:v>55.446119999999816</c:v>
                </c:pt>
                <c:pt idx="1000">
                  <c:v>55.446119999999816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4-48D6-934B-5D8E0316888E}"/>
            </c:ext>
          </c:extLst>
        </c:ser>
        <c:ser>
          <c:idx val="0"/>
          <c:order val="2"/>
          <c:tx>
            <c:strRef>
              <c:f>Courbes!$B$133</c:f>
              <c:strCache>
                <c:ptCount val="1"/>
                <c:pt idx="0">
                  <c:v>Traînée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Calculs!$W$4:$W$1004</c:f>
              <c:numCache>
                <c:formatCode>0.00</c:formatCode>
                <c:ptCount val="1001"/>
                <c:pt idx="0">
                  <c:v>31.996055907464889</c:v>
                </c:pt>
                <c:pt idx="1">
                  <c:v>31.986260939937548</c:v>
                </c:pt>
                <c:pt idx="2">
                  <c:v>32.110290486719776</c:v>
                </c:pt>
                <c:pt idx="3">
                  <c:v>32.368882483383182</c:v>
                </c:pt>
                <c:pt idx="4">
                  <c:v>32.763665906895795</c:v>
                </c:pt>
                <c:pt idx="5">
                  <c:v>33.297161385722127</c:v>
                </c:pt>
                <c:pt idx="6">
                  <c:v>33.902940914757437</c:v>
                </c:pt>
                <c:pt idx="7">
                  <c:v>34.512391904975033</c:v>
                </c:pt>
                <c:pt idx="8">
                  <c:v>35.125459886660551</c:v>
                </c:pt>
                <c:pt idx="9">
                  <c:v>35.742090340780969</c:v>
                </c:pt>
                <c:pt idx="10">
                  <c:v>36.362228703183192</c:v>
                </c:pt>
                <c:pt idx="11">
                  <c:v>36.985820368786442</c:v>
                </c:pt>
                <c:pt idx="12">
                  <c:v>37.612810695767159</c:v>
                </c:pt>
                <c:pt idx="13">
                  <c:v>38.24314500973648</c:v>
                </c:pt>
                <c:pt idx="14">
                  <c:v>38.876768607909383</c:v>
                </c:pt>
                <c:pt idx="15">
                  <c:v>39.513626763265101</c:v>
                </c:pt>
                <c:pt idx="16">
                  <c:v>40.153664728698189</c:v>
                </c:pt>
                <c:pt idx="17">
                  <c:v>40.796827741159802</c:v>
                </c:pt>
                <c:pt idx="18">
                  <c:v>41.443061025788616</c:v>
                </c:pt>
                <c:pt idx="19">
                  <c:v>42.092309800030698</c:v>
                </c:pt>
                <c:pt idx="20">
                  <c:v>42.744519277748175</c:v>
                </c:pt>
                <c:pt idx="21">
                  <c:v>43.399634673315752</c:v>
                </c:pt>
                <c:pt idx="22">
                  <c:v>44.057601205704913</c:v>
                </c:pt>
                <c:pt idx="23">
                  <c:v>44.718364102555036</c:v>
                </c:pt>
                <c:pt idx="24">
                  <c:v>45.38186860423103</c:v>
                </c:pt>
                <c:pt idx="25">
                  <c:v>46.048059967867104</c:v>
                </c:pt>
                <c:pt idx="26">
                  <c:v>46.716883471395882</c:v>
                </c:pt>
                <c:pt idx="27">
                  <c:v>47.388284417562545</c:v>
                </c:pt>
                <c:pt idx="28">
                  <c:v>48.062208137923704</c:v>
                </c:pt>
                <c:pt idx="29">
                  <c:v>48.73859999682999</c:v>
                </c:pt>
                <c:pt idx="30">
                  <c:v>49.417405395392464</c:v>
                </c:pt>
                <c:pt idx="31">
                  <c:v>50.098569775431919</c:v>
                </c:pt>
                <c:pt idx="32">
                  <c:v>50.782038623410955</c:v>
                </c:pt>
                <c:pt idx="33">
                  <c:v>51.467757474348019</c:v>
                </c:pt>
                <c:pt idx="34">
                  <c:v>52.155671915713285</c:v>
                </c:pt>
                <c:pt idx="35">
                  <c:v>52.845727591305653</c:v>
                </c:pt>
                <c:pt idx="36">
                  <c:v>53.537870205110522</c:v>
                </c:pt>
                <c:pt idx="37">
                  <c:v>54.232045525137998</c:v>
                </c:pt>
                <c:pt idx="38">
                  <c:v>54.928199387240838</c:v>
                </c:pt>
                <c:pt idx="39">
                  <c:v>55.626277698911892</c:v>
                </c:pt>
                <c:pt idx="40">
                  <c:v>56.32622644306079</c:v>
                </c:pt>
                <c:pt idx="41">
                  <c:v>57.027991681768796</c:v>
                </c:pt>
                <c:pt idx="42">
                  <c:v>57.731519560022164</c:v>
                </c:pt>
                <c:pt idx="43">
                  <c:v>58.436756309423309</c:v>
                </c:pt>
                <c:pt idx="44">
                  <c:v>59.143648251879142</c:v>
                </c:pt>
                <c:pt idx="45">
                  <c:v>59.85214180326642</c:v>
                </c:pt>
                <c:pt idx="46">
                  <c:v>60.562183477073773</c:v>
                </c:pt>
                <c:pt idx="47">
                  <c:v>61.273719888019819</c:v>
                </c:pt>
                <c:pt idx="48">
                  <c:v>61.98669775564715</c:v>
                </c:pt>
                <c:pt idx="49">
                  <c:v>62.701063907891744</c:v>
                </c:pt>
                <c:pt idx="50">
                  <c:v>63.416765284627374</c:v>
                </c:pt>
                <c:pt idx="51">
                  <c:v>64.134256318090735</c:v>
                </c:pt>
                <c:pt idx="52">
                  <c:v>64.85400334742414</c:v>
                </c:pt>
                <c:pt idx="53">
                  <c:v>65.575970943923849</c:v>
                </c:pt>
                <c:pt idx="54">
                  <c:v>66.3001236713244</c:v>
                </c:pt>
                <c:pt idx="55">
                  <c:v>67.026426087933118</c:v>
                </c:pt>
                <c:pt idx="56">
                  <c:v>67.754842748758762</c:v>
                </c:pt>
                <c:pt idx="57">
                  <c:v>68.485338207634356</c:v>
                </c:pt>
                <c:pt idx="58">
                  <c:v>69.217877019333187</c:v>
                </c:pt>
                <c:pt idx="59">
                  <c:v>69.95242374167897</c:v>
                </c:pt>
                <c:pt idx="60">
                  <c:v>70.68894293764869</c:v>
                </c:pt>
                <c:pt idx="61">
                  <c:v>71.427399177468871</c:v>
                </c:pt>
                <c:pt idx="62">
                  <c:v>72.167757040704501</c:v>
                </c:pt>
                <c:pt idx="63">
                  <c:v>72.909981118340795</c:v>
                </c:pt>
                <c:pt idx="64">
                  <c:v>73.65403601485724</c:v>
                </c:pt>
                <c:pt idx="65">
                  <c:v>74.399886350293855</c:v>
                </c:pt>
                <c:pt idx="66">
                  <c:v>75.147496762309686</c:v>
                </c:pt>
                <c:pt idx="67">
                  <c:v>75.896831908233068</c:v>
                </c:pt>
                <c:pt idx="68">
                  <c:v>76.647856467103239</c:v>
                </c:pt>
                <c:pt idx="69">
                  <c:v>77.400535141703855</c:v>
                </c:pt>
                <c:pt idx="70">
                  <c:v>78.154832660587445</c:v>
                </c:pt>
                <c:pt idx="71">
                  <c:v>78.910713780091001</c:v>
                </c:pt>
                <c:pt idx="72">
                  <c:v>79.668143286342612</c:v>
                </c:pt>
                <c:pt idx="73">
                  <c:v>80.427085997258288</c:v>
                </c:pt>
                <c:pt idx="74">
                  <c:v>81.187506764529928</c:v>
                </c:pt>
                <c:pt idx="75">
                  <c:v>81.94937047560326</c:v>
                </c:pt>
                <c:pt idx="76">
                  <c:v>82.712642055645617</c:v>
                </c:pt>
                <c:pt idx="77">
                  <c:v>83.477286469504421</c:v>
                </c:pt>
                <c:pt idx="78">
                  <c:v>84.243268723654779</c:v>
                </c:pt>
                <c:pt idx="79">
                  <c:v>85.010553868136768</c:v>
                </c:pt>
                <c:pt idx="80">
                  <c:v>85.779106998482774</c:v>
                </c:pt>
                <c:pt idx="81">
                  <c:v>86.548893257633097</c:v>
                </c:pt>
                <c:pt idx="82">
                  <c:v>87.319877837841503</c:v>
                </c:pt>
                <c:pt idx="83">
                  <c:v>88.092025982569183</c:v>
                </c:pt>
                <c:pt idx="84">
                  <c:v>88.865302988367858</c:v>
                </c:pt>
                <c:pt idx="85">
                  <c:v>89.639674206751025</c:v>
                </c:pt>
                <c:pt idx="86">
                  <c:v>90.415105046054279</c:v>
                </c:pt>
                <c:pt idx="87">
                  <c:v>91.191560973283259</c:v>
                </c:pt>
                <c:pt idx="88">
                  <c:v>91.969007515950281</c:v>
                </c:pt>
                <c:pt idx="89">
                  <c:v>92.747410263898516</c:v>
                </c:pt>
                <c:pt idx="90">
                  <c:v>93.526734871114371</c:v>
                </c:pt>
                <c:pt idx="91">
                  <c:v>94.30694705752758</c:v>
                </c:pt>
                <c:pt idx="92">
                  <c:v>95.088012610798202</c:v>
                </c:pt>
                <c:pt idx="93">
                  <c:v>95.869897388091971</c:v>
                </c:pt>
                <c:pt idx="94">
                  <c:v>96.652567317842255</c:v>
                </c:pt>
                <c:pt idx="95">
                  <c:v>97.435988401499444</c:v>
                </c:pt>
                <c:pt idx="96">
                  <c:v>98.220126715267128</c:v>
                </c:pt>
                <c:pt idx="97">
                  <c:v>99.004948411825453</c:v>
                </c:pt>
                <c:pt idx="98">
                  <c:v>99.79041972204088</c:v>
                </c:pt>
                <c:pt idx="99">
                  <c:v>100.57650695666285</c:v>
                </c:pt>
                <c:pt idx="100">
                  <c:v>101.36317650800676</c:v>
                </c:pt>
                <c:pt idx="101">
                  <c:v>102.15009870792085</c:v>
                </c:pt>
                <c:pt idx="102">
                  <c:v>102.9369393322866</c:v>
                </c:pt>
                <c:pt idx="103">
                  <c:v>103.72365835314478</c:v>
                </c:pt>
                <c:pt idx="104">
                  <c:v>104.51021589829081</c:v>
                </c:pt>
                <c:pt idx="105">
                  <c:v>105.29657225321668</c:v>
                </c:pt>
                <c:pt idx="106">
                  <c:v>106.08268786302986</c:v>
                </c:pt>
                <c:pt idx="107">
                  <c:v>106.86852333434851</c:v>
                </c:pt>
                <c:pt idx="108">
                  <c:v>107.65403943717276</c:v>
                </c:pt>
                <c:pt idx="109">
                  <c:v>108.43919710673272</c:v>
                </c:pt>
                <c:pt idx="110">
                  <c:v>109.22395744531184</c:v>
                </c:pt>
                <c:pt idx="111">
                  <c:v>110.00828172404698</c:v>
                </c:pt>
                <c:pt idx="112">
                  <c:v>110.79213138470431</c:v>
                </c:pt>
                <c:pt idx="113">
                  <c:v>111.57546804143084</c:v>
                </c:pt>
                <c:pt idx="114">
                  <c:v>112.35825348248179</c:v>
                </c:pt>
                <c:pt idx="115">
                  <c:v>113.14044967192433</c:v>
                </c:pt>
                <c:pt idx="116">
                  <c:v>113.92201875131606</c:v>
                </c:pt>
                <c:pt idx="117">
                  <c:v>114.70292304135972</c:v>
                </c:pt>
                <c:pt idx="118">
                  <c:v>115.48312504353352</c:v>
                </c:pt>
                <c:pt idx="119">
                  <c:v>116.26258744169677</c:v>
                </c:pt>
                <c:pt idx="120">
                  <c:v>117.041273103671</c:v>
                </c:pt>
                <c:pt idx="121">
                  <c:v>117.81914508279667</c:v>
                </c:pt>
                <c:pt idx="122">
                  <c:v>118.59616661946536</c:v>
                </c:pt>
                <c:pt idx="123">
                  <c:v>119.3723011426269</c:v>
                </c:pt>
                <c:pt idx="124">
                  <c:v>120.14751227127246</c:v>
                </c:pt>
                <c:pt idx="125">
                  <c:v>120.92176381589243</c:v>
                </c:pt>
                <c:pt idx="126">
                  <c:v>121.69501977991015</c:v>
                </c:pt>
                <c:pt idx="127">
                  <c:v>122.46724436109031</c:v>
                </c:pt>
                <c:pt idx="128">
                  <c:v>123.23840195292314</c:v>
                </c:pt>
                <c:pt idx="129">
                  <c:v>124.00845714598341</c:v>
                </c:pt>
                <c:pt idx="130">
                  <c:v>124.77737472926539</c:v>
                </c:pt>
                <c:pt idx="131">
                  <c:v>125.54511969149212</c:v>
                </c:pt>
                <c:pt idx="132">
                  <c:v>126.31165722240097</c:v>
                </c:pt>
                <c:pt idx="133">
                  <c:v>127.07695271400355</c:v>
                </c:pt>
                <c:pt idx="134">
                  <c:v>127.84097176182155</c:v>
                </c:pt>
                <c:pt idx="135">
                  <c:v>128.60368016609758</c:v>
                </c:pt>
                <c:pt idx="136">
                  <c:v>129.36504393298125</c:v>
                </c:pt>
                <c:pt idx="137">
                  <c:v>130.12502927569093</c:v>
                </c:pt>
                <c:pt idx="138">
                  <c:v>130.88360261565052</c:v>
                </c:pt>
                <c:pt idx="139">
                  <c:v>131.64073058360194</c:v>
                </c:pt>
                <c:pt idx="140">
                  <c:v>132.39638002069225</c:v>
                </c:pt>
                <c:pt idx="141">
                  <c:v>133.15051797953791</c:v>
                </c:pt>
                <c:pt idx="142">
                  <c:v>133.90311172526239</c:v>
                </c:pt>
                <c:pt idx="143">
                  <c:v>134.65412873651064</c:v>
                </c:pt>
                <c:pt idx="144">
                  <c:v>135.40353670643964</c:v>
                </c:pt>
                <c:pt idx="145">
                  <c:v>136.15130354368259</c:v>
                </c:pt>
                <c:pt idx="146">
                  <c:v>136.89739737329106</c:v>
                </c:pt>
                <c:pt idx="147">
                  <c:v>137.64178653765117</c:v>
                </c:pt>
                <c:pt idx="148">
                  <c:v>138.38443959737666</c:v>
                </c:pt>
                <c:pt idx="149">
                  <c:v>139.12532533217714</c:v>
                </c:pt>
                <c:pt idx="150">
                  <c:v>139.86441274170284</c:v>
                </c:pt>
                <c:pt idx="151">
                  <c:v>140.60178942331368</c:v>
                </c:pt>
                <c:pt idx="152">
                  <c:v>141.3375443938493</c:v>
                </c:pt>
                <c:pt idx="153">
                  <c:v>142.07164898055947</c:v>
                </c:pt>
                <c:pt idx="154">
                  <c:v>142.80407470760906</c:v>
                </c:pt>
                <c:pt idx="155">
                  <c:v>143.53479329679482</c:v>
                </c:pt>
                <c:pt idx="156">
                  <c:v>144.26377666823916</c:v>
                </c:pt>
                <c:pt idx="157">
                  <c:v>144.99099694106505</c:v>
                </c:pt>
                <c:pt idx="158">
                  <c:v>145.71642643405045</c:v>
                </c:pt>
                <c:pt idx="159">
                  <c:v>146.44003766626105</c:v>
                </c:pt>
                <c:pt idx="160">
                  <c:v>147.1618033576639</c:v>
                </c:pt>
                <c:pt idx="161">
                  <c:v>147.88169642971988</c:v>
                </c:pt>
                <c:pt idx="162">
                  <c:v>148.59969000595672</c:v>
                </c:pt>
                <c:pt idx="163">
                  <c:v>149.31575741252163</c:v>
                </c:pt>
                <c:pt idx="164">
                  <c:v>150.02987217871325</c:v>
                </c:pt>
                <c:pt idx="165">
                  <c:v>150.74200803749491</c:v>
                </c:pt>
                <c:pt idx="166">
                  <c:v>151.45213892598676</c:v>
                </c:pt>
                <c:pt idx="167">
                  <c:v>152.16023898593897</c:v>
                </c:pt>
                <c:pt idx="168">
                  <c:v>152.86628256418467</c:v>
                </c:pt>
                <c:pt idx="169">
                  <c:v>153.57024421307409</c:v>
                </c:pt>
                <c:pt idx="170">
                  <c:v>154.27209869088813</c:v>
                </c:pt>
                <c:pt idx="171">
                  <c:v>154.97182096223298</c:v>
                </c:pt>
                <c:pt idx="172">
                  <c:v>155.66938619841622</c:v>
                </c:pt>
                <c:pt idx="173">
                  <c:v>156.36476977780214</c:v>
                </c:pt>
                <c:pt idx="174">
                  <c:v>157.0579472861493</c:v>
                </c:pt>
                <c:pt idx="175">
                  <c:v>157.74889451692846</c:v>
                </c:pt>
                <c:pt idx="176">
                  <c:v>158.43758747162167</c:v>
                </c:pt>
                <c:pt idx="177">
                  <c:v>159.12400236000269</c:v>
                </c:pt>
                <c:pt idx="178">
                  <c:v>159.80811560039874</c:v>
                </c:pt>
                <c:pt idx="179">
                  <c:v>160.48990381993346</c:v>
                </c:pt>
                <c:pt idx="180">
                  <c:v>161.16934385475162</c:v>
                </c:pt>
                <c:pt idx="181">
                  <c:v>161.84641275022531</c:v>
                </c:pt>
                <c:pt idx="182">
                  <c:v>162.52108776114244</c:v>
                </c:pt>
                <c:pt idx="183">
                  <c:v>163.19334635187624</c:v>
                </c:pt>
                <c:pt idx="184">
                  <c:v>163.86316619653741</c:v>
                </c:pt>
                <c:pt idx="185">
                  <c:v>164.53052517910808</c:v>
                </c:pt>
                <c:pt idx="186">
                  <c:v>165.19540139355868</c:v>
                </c:pt>
                <c:pt idx="187">
                  <c:v>165.85777314394613</c:v>
                </c:pt>
                <c:pt idx="188">
                  <c:v>166.51761894449524</c:v>
                </c:pt>
                <c:pt idx="189">
                  <c:v>167.17491751966287</c:v>
                </c:pt>
                <c:pt idx="190">
                  <c:v>167.82964780418419</c:v>
                </c:pt>
                <c:pt idx="191">
                  <c:v>168.48178894310246</c:v>
                </c:pt>
                <c:pt idx="192">
                  <c:v>169.13132029178144</c:v>
                </c:pt>
                <c:pt idx="193">
                  <c:v>169.77822141590104</c:v>
                </c:pt>
                <c:pt idx="194">
                  <c:v>170.42247209143667</c:v>
                </c:pt>
                <c:pt idx="195">
                  <c:v>171.06405230462124</c:v>
                </c:pt>
                <c:pt idx="196">
                  <c:v>171.7029422518911</c:v>
                </c:pt>
                <c:pt idx="197">
                  <c:v>172.33912233981607</c:v>
                </c:pt>
                <c:pt idx="198">
                  <c:v>172.97257318501264</c:v>
                </c:pt>
                <c:pt idx="199">
                  <c:v>173.60327561404134</c:v>
                </c:pt>
                <c:pt idx="200">
                  <c:v>174.23121066328864</c:v>
                </c:pt>
                <c:pt idx="201">
                  <c:v>174.85635957883244</c:v>
                </c:pt>
                <c:pt idx="202">
                  <c:v>175.4787038162923</c:v>
                </c:pt>
                <c:pt idx="203">
                  <c:v>176.09822504066418</c:v>
                </c:pt>
                <c:pt idx="204">
                  <c:v>176.7149051261402</c:v>
                </c:pt>
                <c:pt idx="205">
                  <c:v>177.32872615591219</c:v>
                </c:pt>
                <c:pt idx="206">
                  <c:v>177.93967042196138</c:v>
                </c:pt>
                <c:pt idx="207">
                  <c:v>178.54772042483279</c:v>
                </c:pt>
                <c:pt idx="208">
                  <c:v>179.15285887339428</c:v>
                </c:pt>
                <c:pt idx="209">
                  <c:v>179.75506868458197</c:v>
                </c:pt>
                <c:pt idx="210">
                  <c:v>180.3543329831304</c:v>
                </c:pt>
                <c:pt idx="211">
                  <c:v>180.95063510128932</c:v>
                </c:pt>
                <c:pt idx="212">
                  <c:v>181.54395857852498</c:v>
                </c:pt>
                <c:pt idx="213">
                  <c:v>182.13428716120907</c:v>
                </c:pt>
                <c:pt idx="214">
                  <c:v>182.72160480229212</c:v>
                </c:pt>
                <c:pt idx="215">
                  <c:v>183.30589566096464</c:v>
                </c:pt>
                <c:pt idx="216">
                  <c:v>183.88714410230395</c:v>
                </c:pt>
                <c:pt idx="217">
                  <c:v>184.4653346969076</c:v>
                </c:pt>
                <c:pt idx="218">
                  <c:v>185.04045222051397</c:v>
                </c:pt>
                <c:pt idx="219">
                  <c:v>185.61248165360911</c:v>
                </c:pt>
                <c:pt idx="220">
                  <c:v>186.18140818102182</c:v>
                </c:pt>
                <c:pt idx="221">
                  <c:v>186.74721719150449</c:v>
                </c:pt>
                <c:pt idx="222">
                  <c:v>187.30989427730228</c:v>
                </c:pt>
                <c:pt idx="223">
                  <c:v>187.86942523370965</c:v>
                </c:pt>
                <c:pt idx="224">
                  <c:v>188.42579605861448</c:v>
                </c:pt>
                <c:pt idx="225">
                  <c:v>188.97899295202973</c:v>
                </c:pt>
                <c:pt idx="226">
                  <c:v>189.52900231561378</c:v>
                </c:pt>
                <c:pt idx="227">
                  <c:v>190.0758107521782</c:v>
                </c:pt>
                <c:pt idx="228">
                  <c:v>190.61940506518459</c:v>
                </c:pt>
                <c:pt idx="229">
                  <c:v>191.15977225822874</c:v>
                </c:pt>
                <c:pt idx="230">
                  <c:v>191.69689953451461</c:v>
                </c:pt>
                <c:pt idx="231">
                  <c:v>192.2307742963165</c:v>
                </c:pt>
                <c:pt idx="232">
                  <c:v>192.76138414442985</c:v>
                </c:pt>
                <c:pt idx="233">
                  <c:v>193.28871687761182</c:v>
                </c:pt>
                <c:pt idx="234">
                  <c:v>193.81276049201043</c:v>
                </c:pt>
                <c:pt idx="235">
                  <c:v>194.33350318058356</c:v>
                </c:pt>
                <c:pt idx="236">
                  <c:v>194.85093333250722</c:v>
                </c:pt>
                <c:pt idx="237">
                  <c:v>195.36503953257358</c:v>
                </c:pt>
                <c:pt idx="238">
                  <c:v>195.8758105605788</c:v>
                </c:pt>
                <c:pt idx="239">
                  <c:v>196.38323539070117</c:v>
                </c:pt>
                <c:pt idx="240">
                  <c:v>196.88730319086875</c:v>
                </c:pt>
                <c:pt idx="241">
                  <c:v>197.38800332211821</c:v>
                </c:pt>
                <c:pt idx="242">
                  <c:v>197.8853253379431</c:v>
                </c:pt>
                <c:pt idx="243">
                  <c:v>198.37925898363375</c:v>
                </c:pt>
                <c:pt idx="244">
                  <c:v>198.8697941956072</c:v>
                </c:pt>
                <c:pt idx="245">
                  <c:v>199.35692110072858</c:v>
                </c:pt>
                <c:pt idx="246">
                  <c:v>199.84063001562313</c:v>
                </c:pt>
                <c:pt idx="247">
                  <c:v>200.32091144597933</c:v>
                </c:pt>
                <c:pt idx="248">
                  <c:v>200.7977560858443</c:v>
                </c:pt>
                <c:pt idx="249">
                  <c:v>201.27115481691004</c:v>
                </c:pt>
                <c:pt idx="250">
                  <c:v>201.74109870779068</c:v>
                </c:pt>
                <c:pt idx="251">
                  <c:v>202.20696790455654</c:v>
                </c:pt>
                <c:pt idx="252">
                  <c:v>202.66814076607918</c:v>
                </c:pt>
                <c:pt idx="253">
                  <c:v>203.12460678611967</c:v>
                </c:pt>
                <c:pt idx="254">
                  <c:v>203.5763557541631</c:v>
                </c:pt>
                <c:pt idx="255">
                  <c:v>204.0233777540499</c:v>
                </c:pt>
                <c:pt idx="256">
                  <c:v>204.46566316259467</c:v>
                </c:pt>
                <c:pt idx="257">
                  <c:v>204.9032026481909</c:v>
                </c:pt>
                <c:pt idx="258">
                  <c:v>205.3359871694031</c:v>
                </c:pt>
                <c:pt idx="259">
                  <c:v>205.7640079735462</c:v>
                </c:pt>
                <c:pt idx="260">
                  <c:v>206.18725659525271</c:v>
                </c:pt>
                <c:pt idx="261">
                  <c:v>206.60572485502803</c:v>
                </c:pt>
                <c:pt idx="262">
                  <c:v>207.01940485779332</c:v>
                </c:pt>
                <c:pt idx="263">
                  <c:v>207.4282889914175</c:v>
                </c:pt>
                <c:pt idx="264">
                  <c:v>207.83236992523842</c:v>
                </c:pt>
                <c:pt idx="265">
                  <c:v>208.23164060857201</c:v>
                </c:pt>
                <c:pt idx="266">
                  <c:v>208.62609426921219</c:v>
                </c:pt>
                <c:pt idx="267">
                  <c:v>209.01572441191956</c:v>
                </c:pt>
                <c:pt idx="268">
                  <c:v>209.40052481690051</c:v>
                </c:pt>
                <c:pt idx="269">
                  <c:v>209.78048953827704</c:v>
                </c:pt>
                <c:pt idx="270">
                  <c:v>210.15561290254578</c:v>
                </c:pt>
                <c:pt idx="271">
                  <c:v>210.5258895070298</c:v>
                </c:pt>
                <c:pt idx="272">
                  <c:v>210.89131421831985</c:v>
                </c:pt>
                <c:pt idx="273">
                  <c:v>211.25188217070806</c:v>
                </c:pt>
                <c:pt idx="274">
                  <c:v>211.60758876461298</c:v>
                </c:pt>
                <c:pt idx="275">
                  <c:v>211.95842966499742</c:v>
                </c:pt>
                <c:pt idx="276">
                  <c:v>212.30440079977632</c:v>
                </c:pt>
                <c:pt idx="277">
                  <c:v>212.64549835821992</c:v>
                </c:pt>
                <c:pt idx="278">
                  <c:v>212.98171878934809</c:v>
                </c:pt>
                <c:pt idx="279">
                  <c:v>213.31305880031826</c:v>
                </c:pt>
                <c:pt idx="280">
                  <c:v>213.63951535480612</c:v>
                </c:pt>
                <c:pt idx="281">
                  <c:v>213.96108567138086</c:v>
                </c:pt>
                <c:pt idx="282">
                  <c:v>214.27776722187329</c:v>
                </c:pt>
                <c:pt idx="283">
                  <c:v>214.58955772973925</c:v>
                </c:pt>
                <c:pt idx="284">
                  <c:v>214.89645516841594</c:v>
                </c:pt>
                <c:pt idx="285">
                  <c:v>215.19845775967423</c:v>
                </c:pt>
                <c:pt idx="286">
                  <c:v>215.49556397196525</c:v>
                </c:pt>
                <c:pt idx="287">
                  <c:v>215.78777251876139</c:v>
                </c:pt>
                <c:pt idx="288">
                  <c:v>216.07508235689497</c:v>
                </c:pt>
                <c:pt idx="289">
                  <c:v>216.35749268488968</c:v>
                </c:pt>
                <c:pt idx="290">
                  <c:v>216.63500294129</c:v>
                </c:pt>
                <c:pt idx="291">
                  <c:v>216.90761280298557</c:v>
                </c:pt>
                <c:pt idx="292">
                  <c:v>217.17532218353296</c:v>
                </c:pt>
                <c:pt idx="293">
                  <c:v>217.43813123147288</c:v>
                </c:pt>
                <c:pt idx="294">
                  <c:v>217.69604032864513</c:v>
                </c:pt>
                <c:pt idx="295">
                  <c:v>217.94905008850012</c:v>
                </c:pt>
                <c:pt idx="296">
                  <c:v>218.19716135440811</c:v>
                </c:pt>
                <c:pt idx="297">
                  <c:v>218.44037519796552</c:v>
                </c:pt>
                <c:pt idx="298">
                  <c:v>218.6717389466391</c:v>
                </c:pt>
                <c:pt idx="299">
                  <c:v>218.88429873700923</c:v>
                </c:pt>
                <c:pt idx="300">
                  <c:v>219.07806516303214</c:v>
                </c:pt>
                <c:pt idx="301">
                  <c:v>219.25305174460598</c:v>
                </c:pt>
                <c:pt idx="302">
                  <c:v>219.40927490297156</c:v>
                </c:pt>
                <c:pt idx="303">
                  <c:v>219.54675393589486</c:v>
                </c:pt>
                <c:pt idx="304">
                  <c:v>219.66551099264015</c:v>
                </c:pt>
                <c:pt idx="305">
                  <c:v>219.76557104874618</c:v>
                </c:pt>
                <c:pt idx="306">
                  <c:v>219.84696188061673</c:v>
                </c:pt>
                <c:pt idx="307">
                  <c:v>219.90971403993294</c:v>
                </c:pt>
                <c:pt idx="308">
                  <c:v>219.95386082790031</c:v>
                </c:pt>
                <c:pt idx="309">
                  <c:v>219.97943826934065</c:v>
                </c:pt>
                <c:pt idx="310">
                  <c:v>219.98648508663669</c:v>
                </c:pt>
                <c:pt idx="311">
                  <c:v>219.97504267354287</c:v>
                </c:pt>
                <c:pt idx="312">
                  <c:v>219.94515506886898</c:v>
                </c:pt>
                <c:pt idx="313">
                  <c:v>219.8968689300481</c:v>
                </c:pt>
                <c:pt idx="314">
                  <c:v>219.830233506599</c:v>
                </c:pt>
                <c:pt idx="315">
                  <c:v>219.74530061349077</c:v>
                </c:pt>
                <c:pt idx="316">
                  <c:v>219.64212460442084</c:v>
                </c:pt>
                <c:pt idx="317">
                  <c:v>219.52076234501462</c:v>
                </c:pt>
                <c:pt idx="318">
                  <c:v>219.38127318595684</c:v>
                </c:pt>
                <c:pt idx="319">
                  <c:v>219.22371893606234</c:v>
                </c:pt>
                <c:pt idx="320">
                  <c:v>219.04816383529675</c:v>
                </c:pt>
                <c:pt idx="321">
                  <c:v>218.85743447719514</c:v>
                </c:pt>
                <c:pt idx="322">
                  <c:v>218.65434762634976</c:v>
                </c:pt>
                <c:pt idx="323">
                  <c:v>218.43895183241528</c:v>
                </c:pt>
                <c:pt idx="324">
                  <c:v>218.21129671139778</c:v>
                </c:pt>
                <c:pt idx="325">
                  <c:v>217.97143293294496</c:v>
                </c:pt>
                <c:pt idx="326">
                  <c:v>217.71941220767002</c:v>
                </c:pt>
                <c:pt idx="327">
                  <c:v>217.45528727451236</c:v>
                </c:pt>
                <c:pt idx="328">
                  <c:v>217.17911188813724</c:v>
                </c:pt>
                <c:pt idx="329">
                  <c:v>216.89094080637622</c:v>
                </c:pt>
                <c:pt idx="330">
                  <c:v>216.5908297777118</c:v>
                </c:pt>
                <c:pt idx="331">
                  <c:v>216.27883552880672</c:v>
                </c:pt>
                <c:pt idx="332">
                  <c:v>215.95501575208189</c:v>
                </c:pt>
                <c:pt idx="333">
                  <c:v>215.61942909334348</c:v>
                </c:pt>
                <c:pt idx="334">
                  <c:v>215.27213513946211</c:v>
                </c:pt>
                <c:pt idx="335">
                  <c:v>214.91319440610616</c:v>
                </c:pt>
                <c:pt idx="336">
                  <c:v>214.54266832553068</c:v>
                </c:pt>
                <c:pt idx="337">
                  <c:v>214.16061923442444</c:v>
                </c:pt>
                <c:pt idx="338">
                  <c:v>213.76711036181564</c:v>
                </c:pt>
                <c:pt idx="339">
                  <c:v>213.36220581704038</c:v>
                </c:pt>
                <c:pt idx="340">
                  <c:v>212.94597057777335</c:v>
                </c:pt>
                <c:pt idx="341">
                  <c:v>212.51847047812427</c:v>
                </c:pt>
                <c:pt idx="342">
                  <c:v>212.07977219679998</c:v>
                </c:pt>
                <c:pt idx="343">
                  <c:v>211.62994324533597</c:v>
                </c:pt>
                <c:pt idx="344">
                  <c:v>211.16905195639723</c:v>
                </c:pt>
                <c:pt idx="345">
                  <c:v>210.69716747215048</c:v>
                </c:pt>
                <c:pt idx="346">
                  <c:v>210.21435973270948</c:v>
                </c:pt>
                <c:pt idx="347">
                  <c:v>209.7206994646553</c:v>
                </c:pt>
                <c:pt idx="348">
                  <c:v>209.21654806390964</c:v>
                </c:pt>
                <c:pt idx="349">
                  <c:v>208.70226539410351</c:v>
                </c:pt>
                <c:pt idx="350">
                  <c:v>208.17792059605011</c:v>
                </c:pt>
                <c:pt idx="351">
                  <c:v>207.6435834631811</c:v>
                </c:pt>
                <c:pt idx="352">
                  <c:v>207.0993244316748</c:v>
                </c:pt>
                <c:pt idx="353">
                  <c:v>206.54521457066195</c:v>
                </c:pt>
                <c:pt idx="354">
                  <c:v>205.9813255725079</c:v>
                </c:pt>
                <c:pt idx="355">
                  <c:v>205.40772974317363</c:v>
                </c:pt>
                <c:pt idx="356">
                  <c:v>204.82449999265643</c:v>
                </c:pt>
                <c:pt idx="357">
                  <c:v>204.23170982550985</c:v>
                </c:pt>
                <c:pt idx="358">
                  <c:v>203.62943333144491</c:v>
                </c:pt>
                <c:pt idx="359">
                  <c:v>203.01774517601402</c:v>
                </c:pt>
                <c:pt idx="360">
                  <c:v>202.40263884605301</c:v>
                </c:pt>
                <c:pt idx="361">
                  <c:v>201.79005336038665</c:v>
                </c:pt>
                <c:pt idx="362">
                  <c:v>201.17997484299519</c:v>
                </c:pt>
                <c:pt idx="363">
                  <c:v>200.57238951411395</c:v>
                </c:pt>
                <c:pt idx="364">
                  <c:v>199.96728368942857</c:v>
                </c:pt>
                <c:pt idx="365">
                  <c:v>199.36464377927845</c:v>
                </c:pt>
                <c:pt idx="366">
                  <c:v>198.76445628786826</c:v>
                </c:pt>
                <c:pt idx="367">
                  <c:v>198.16670781248573</c:v>
                </c:pt>
                <c:pt idx="368">
                  <c:v>197.57138504272905</c:v>
                </c:pt>
                <c:pt idx="369">
                  <c:v>196.9784747597401</c:v>
                </c:pt>
                <c:pt idx="370">
                  <c:v>196.38796383544633</c:v>
                </c:pt>
                <c:pt idx="371">
                  <c:v>195.79983923180907</c:v>
                </c:pt>
                <c:pt idx="372">
                  <c:v>195.21408800007964</c:v>
                </c:pt>
                <c:pt idx="373">
                  <c:v>194.63069728006238</c:v>
                </c:pt>
                <c:pt idx="374">
                  <c:v>194.04965429938537</c:v>
                </c:pt>
                <c:pt idx="375">
                  <c:v>193.47094637277706</c:v>
                </c:pt>
                <c:pt idx="376">
                  <c:v>192.8945609013513</c:v>
                </c:pt>
                <c:pt idx="377">
                  <c:v>192.32048537189783</c:v>
                </c:pt>
                <c:pt idx="378">
                  <c:v>191.7487073561806</c:v>
                </c:pt>
                <c:pt idx="379">
                  <c:v>191.17921451024222</c:v>
                </c:pt>
                <c:pt idx="380">
                  <c:v>190.61199457371575</c:v>
                </c:pt>
                <c:pt idx="381">
                  <c:v>190.04703536914198</c:v>
                </c:pt>
                <c:pt idx="382">
                  <c:v>189.48432480129429</c:v>
                </c:pt>
                <c:pt idx="383">
                  <c:v>188.92385085650957</c:v>
                </c:pt>
                <c:pt idx="384">
                  <c:v>188.36560160202509</c:v>
                </c:pt>
                <c:pt idx="385">
                  <c:v>187.80956518532233</c:v>
                </c:pt>
                <c:pt idx="386">
                  <c:v>187.25572983347649</c:v>
                </c:pt>
                <c:pt idx="387">
                  <c:v>186.70408385251287</c:v>
                </c:pt>
                <c:pt idx="388">
                  <c:v>186.15461562676848</c:v>
                </c:pt>
                <c:pt idx="389">
                  <c:v>185.60731361826012</c:v>
                </c:pt>
                <c:pt idx="390">
                  <c:v>185.06216636605879</c:v>
                </c:pt>
                <c:pt idx="391">
                  <c:v>184.51916248566914</c:v>
                </c:pt>
                <c:pt idx="392">
                  <c:v>183.9782906684153</c:v>
                </c:pt>
                <c:pt idx="393">
                  <c:v>183.43953968083304</c:v>
                </c:pt>
                <c:pt idx="394">
                  <c:v>182.90289836406592</c:v>
                </c:pt>
                <c:pt idx="395">
                  <c:v>182.36835563326915</c:v>
                </c:pt>
                <c:pt idx="396">
                  <c:v>181.83590047701753</c:v>
                </c:pt>
                <c:pt idx="397">
                  <c:v>181.30552195671996</c:v>
                </c:pt>
                <c:pt idx="398">
                  <c:v>180.77720920603804</c:v>
                </c:pt>
                <c:pt idx="399">
                  <c:v>180.25095143031226</c:v>
                </c:pt>
                <c:pt idx="400">
                  <c:v>179.72673790599092</c:v>
                </c:pt>
                <c:pt idx="401">
                  <c:v>174.54931719483375</c:v>
                </c:pt>
                <c:pt idx="402">
                  <c:v>169.56909905965477</c:v>
                </c:pt>
                <c:pt idx="403">
                  <c:v>164.77610504427565</c:v>
                </c:pt>
                <c:pt idx="404">
                  <c:v>160.16098696437558</c:v>
                </c:pt>
                <c:pt idx="405">
                  <c:v>155.71497941962105</c:v>
                </c:pt>
                <c:pt idx="406">
                  <c:v>151.42985644872689</c:v>
                </c:pt>
                <c:pt idx="407">
                  <c:v>147.29789191793338</c:v>
                </c:pt>
                <c:pt idx="408">
                  <c:v>143.31182327850308</c:v>
                </c:pt>
                <c:pt idx="409">
                  <c:v>139.46481836848702</c:v>
                </c:pt>
                <c:pt idx="410">
                  <c:v>135.75044496891081</c:v>
                </c:pt>
                <c:pt idx="411">
                  <c:v>132.16264285530366</c:v>
                </c:pt>
                <c:pt idx="412">
                  <c:v>128.69569811266848</c:v>
                </c:pt>
                <c:pt idx="413">
                  <c:v>125.34421950603006</c:v>
                </c:pt>
                <c:pt idx="414">
                  <c:v>122.10311671999013</c:v>
                </c:pt>
                <c:pt idx="415">
                  <c:v>118.96758029961261</c:v>
                </c:pt>
                <c:pt idx="416">
                  <c:v>115.9330631417444</c:v>
                </c:pt>
                <c:pt idx="417">
                  <c:v>112.99526340081444</c:v>
                </c:pt>
                <c:pt idx="418">
                  <c:v>110.15010868645626</c:v>
                </c:pt>
                <c:pt idx="419">
                  <c:v>107.39374144217335</c:v>
                </c:pt>
                <c:pt idx="420">
                  <c:v>104.72250540486941</c:v>
                </c:pt>
                <c:pt idx="421">
                  <c:v>102.13293305455403</c:v>
                </c:pt>
                <c:pt idx="422">
                  <c:v>99.621733972029006</c:v>
                </c:pt>
                <c:pt idx="423">
                  <c:v>97.185784029979956</c:v>
                </c:pt>
                <c:pt idx="424">
                  <c:v>94.822115349738453</c:v>
                </c:pt>
                <c:pt idx="425">
                  <c:v>92.527906962128824</c:v>
                </c:pt>
                <c:pt idx="426">
                  <c:v>90.300476116345919</c:v>
                </c:pt>
                <c:pt idx="427">
                  <c:v>88.137270185796154</c:v>
                </c:pt>
                <c:pt idx="428">
                  <c:v>86.035859124330926</c:v>
                </c:pt>
                <c:pt idx="429">
                  <c:v>83.993928430358665</c:v>
                </c:pt>
                <c:pt idx="430">
                  <c:v>82.009272579994047</c:v>
                </c:pt>
                <c:pt idx="431">
                  <c:v>80.079788893720377</c:v>
                </c:pt>
                <c:pt idx="432">
                  <c:v>78.203471804049371</c:v>
                </c:pt>
                <c:pt idx="433">
                  <c:v>76.378407494387943</c:v>
                </c:pt>
                <c:pt idx="434">
                  <c:v>74.602768881796109</c:v>
                </c:pt>
                <c:pt idx="435">
                  <c:v>72.874810918566766</c:v>
                </c:pt>
                <c:pt idx="436">
                  <c:v>71.192866189601105</c:v>
                </c:pt>
                <c:pt idx="437">
                  <c:v>69.555340784413985</c:v>
                </c:pt>
                <c:pt idx="438">
                  <c:v>67.960710424295499</c:v>
                </c:pt>
                <c:pt idx="439">
                  <c:v>66.407516826700515</c:v>
                </c:pt>
                <c:pt idx="440">
                  <c:v>64.894364290346473</c:v>
                </c:pt>
                <c:pt idx="441">
                  <c:v>63.419916485785379</c:v>
                </c:pt>
                <c:pt idx="442">
                  <c:v>61.982893437394047</c:v>
                </c:pt>
                <c:pt idx="443">
                  <c:v>60.582068683800316</c:v>
                </c:pt>
                <c:pt idx="444">
                  <c:v>59.21626660474891</c:v>
                </c:pt>
                <c:pt idx="445">
                  <c:v>57.884359903313161</c:v>
                </c:pt>
                <c:pt idx="446">
                  <c:v>56.585267233185697</c:v>
                </c:pt>
                <c:pt idx="447">
                  <c:v>55.317950961540127</c:v>
                </c:pt>
                <c:pt idx="448">
                  <c:v>54.081415058654343</c:v>
                </c:pt>
                <c:pt idx="449">
                  <c:v>52.874703106125089</c:v>
                </c:pt>
                <c:pt idx="450">
                  <c:v>51.696896416094141</c:v>
                </c:pt>
                <c:pt idx="451">
                  <c:v>50.547112254447725</c:v>
                </c:pt>
                <c:pt idx="452">
                  <c:v>49.424502161451166</c:v>
                </c:pt>
                <c:pt idx="453">
                  <c:v>48.328250363740111</c:v>
                </c:pt>
                <c:pt idx="454">
                  <c:v>47.257572272014961</c:v>
                </c:pt>
                <c:pt idx="455">
                  <c:v>46.211713059176212</c:v>
                </c:pt>
                <c:pt idx="456">
                  <c:v>45.189946314001155</c:v>
                </c:pt>
                <c:pt idx="457">
                  <c:v>44.191572765794731</c:v>
                </c:pt>
                <c:pt idx="458">
                  <c:v>43.215919075759018</c:v>
                </c:pt>
                <c:pt idx="459">
                  <c:v>42.262336691109269</c:v>
                </c:pt>
                <c:pt idx="460">
                  <c:v>41.330200758230845</c:v>
                </c:pt>
                <c:pt idx="461">
                  <c:v>40.418909091415451</c:v>
                </c:pt>
                <c:pt idx="462">
                  <c:v>39.527881193943543</c:v>
                </c:pt>
                <c:pt idx="463">
                  <c:v>38.65655732848905</c:v>
                </c:pt>
                <c:pt idx="464">
                  <c:v>37.804397634019701</c:v>
                </c:pt>
                <c:pt idx="465">
                  <c:v>36.97088128654655</c:v>
                </c:pt>
                <c:pt idx="466">
                  <c:v>36.155505701245822</c:v>
                </c:pt>
                <c:pt idx="467">
                  <c:v>35.357785773632727</c:v>
                </c:pt>
                <c:pt idx="468">
                  <c:v>34.577253157612589</c:v>
                </c:pt>
                <c:pt idx="469">
                  <c:v>33.813455578370515</c:v>
                </c:pt>
                <c:pt idx="470">
                  <c:v>33.065956178187307</c:v>
                </c:pt>
                <c:pt idx="471">
                  <c:v>32.334332893386524</c:v>
                </c:pt>
                <c:pt idx="472">
                  <c:v>31.618177860727673</c:v>
                </c:pt>
                <c:pt idx="473">
                  <c:v>30.917096851662858</c:v>
                </c:pt>
                <c:pt idx="474">
                  <c:v>30.230708732969077</c:v>
                </c:pt>
                <c:pt idx="475">
                  <c:v>29.558644952357955</c:v>
                </c:pt>
                <c:pt idx="476">
                  <c:v>28.90054904774744</c:v>
                </c:pt>
                <c:pt idx="477">
                  <c:v>28.256076178958217</c:v>
                </c:pt>
                <c:pt idx="478">
                  <c:v>27.624892680669227</c:v>
                </c:pt>
                <c:pt idx="479">
                  <c:v>27.006675635535739</c:v>
                </c:pt>
                <c:pt idx="480">
                  <c:v>26.401112466436118</c:v>
                </c:pt>
                <c:pt idx="481">
                  <c:v>25.807900546872954</c:v>
                </c:pt>
                <c:pt idx="482">
                  <c:v>25.226746828610516</c:v>
                </c:pt>
                <c:pt idx="483">
                  <c:v>24.657367485681654</c:v>
                </c:pt>
                <c:pt idx="484">
                  <c:v>24.099487573947254</c:v>
                </c:pt>
                <c:pt idx="485">
                  <c:v>23.552840705435909</c:v>
                </c:pt>
                <c:pt idx="486">
                  <c:v>23.017168736735844</c:v>
                </c:pt>
                <c:pt idx="487">
                  <c:v>22.492221470750255</c:v>
                </c:pt>
                <c:pt idx="488">
                  <c:v>21.977756371165761</c:v>
                </c:pt>
                <c:pt idx="489">
                  <c:v>21.473538289019181</c:v>
                </c:pt>
                <c:pt idx="490">
                  <c:v>20.97933920078092</c:v>
                </c:pt>
                <c:pt idx="491">
                  <c:v>20.494937957404897</c:v>
                </c:pt>
                <c:pt idx="492">
                  <c:v>20.020120043824715</c:v>
                </c:pt>
                <c:pt idx="493">
                  <c:v>19.554677348402791</c:v>
                </c:pt>
                <c:pt idx="494">
                  <c:v>19.098407941866249</c:v>
                </c:pt>
                <c:pt idx="495">
                  <c:v>18.651115865287174</c:v>
                </c:pt>
                <c:pt idx="496">
                  <c:v>18.212610926688516</c:v>
                </c:pt>
                <c:pt idx="497">
                  <c:v>17.782708505878428</c:v>
                </c:pt>
                <c:pt idx="498">
                  <c:v>17.36122936713668</c:v>
                </c:pt>
                <c:pt idx="499">
                  <c:v>16.947999479395847</c:v>
                </c:pt>
                <c:pt idx="500">
                  <c:v>16.542849843578544</c:v>
                </c:pt>
                <c:pt idx="501">
                  <c:v>16.14561632676908</c:v>
                </c:pt>
                <c:pt idx="502">
                  <c:v>15.756139502914214</c:v>
                </c:pt>
                <c:pt idx="503">
                  <c:v>15.374264499763038</c:v>
                </c:pt>
                <c:pt idx="504">
                  <c:v>14.999840851770541</c:v>
                </c:pt>
                <c:pt idx="505">
                  <c:v>14.632722358703187</c:v>
                </c:pt>
                <c:pt idx="506">
                  <c:v>14.272766949697568</c:v>
                </c:pt>
                <c:pt idx="507">
                  <c:v>13.919836552535784</c:v>
                </c:pt>
                <c:pt idx="508">
                  <c:v>13.573796967912386</c:v>
                </c:pt>
                <c:pt idx="509">
                  <c:v>13.234517748479009</c:v>
                </c:pt>
                <c:pt idx="510">
                  <c:v>12.901872082462971</c:v>
                </c:pt>
                <c:pt idx="511">
                  <c:v>12.575736681666006</c:v>
                </c:pt>
                <c:pt idx="512">
                  <c:v>12.255991673658471</c:v>
                </c:pt>
                <c:pt idx="513">
                  <c:v>11.942520497993428</c:v>
                </c:pt>
                <c:pt idx="514">
                  <c:v>11.635209806272906</c:v>
                </c:pt>
                <c:pt idx="515">
                  <c:v>11.33394936590703</c:v>
                </c:pt>
                <c:pt idx="516">
                  <c:v>11.038631967413606</c:v>
                </c:pt>
                <c:pt idx="517">
                  <c:v>10.749153335113521</c:v>
                </c:pt>
                <c:pt idx="518">
                  <c:v>10.465412041083344</c:v>
                </c:pt>
                <c:pt idx="519">
                  <c:v>10.187309422233399</c:v>
                </c:pt>
                <c:pt idx="520">
                  <c:v>9.914749500385426</c:v>
                </c:pt>
                <c:pt idx="521">
                  <c:v>9.6476389052296199</c:v>
                </c:pt>
                <c:pt idx="522">
                  <c:v>9.3858868000464319</c:v>
                </c:pt>
                <c:pt idx="523">
                  <c:v>9.1294048100836367</c:v>
                </c:pt>
                <c:pt idx="524">
                  <c:v>8.8781069534839627</c:v>
                </c:pt>
                <c:pt idx="525">
                  <c:v>8.6319095746634531</c:v>
                </c:pt>
                <c:pt idx="526">
                  <c:v>8.3907312800449674</c:v>
                </c:pt>
                <c:pt idx="527">
                  <c:v>8.1544928760555191</c:v>
                </c:pt>
                <c:pt idx="528">
                  <c:v>7.9231173093001548</c:v>
                </c:pt>
                <c:pt idx="529">
                  <c:v>7.6965296088288131</c:v>
                </c:pt>
                <c:pt idx="530">
                  <c:v>7.4746568304162473</c:v>
                </c:pt>
                <c:pt idx="531">
                  <c:v>7.2574280027784965</c:v>
                </c:pt>
                <c:pt idx="532">
                  <c:v>7.0447740756527075</c:v>
                </c:pt>
                <c:pt idx="533">
                  <c:v>6.8366278696700347</c:v>
                </c:pt>
                <c:pt idx="534">
                  <c:v>6.632924027954501</c:v>
                </c:pt>
                <c:pt idx="535">
                  <c:v>6.4335989693832669</c:v>
                </c:pt>
                <c:pt idx="536">
                  <c:v>6.2385908434465707</c:v>
                </c:pt>
                <c:pt idx="537">
                  <c:v>6.0478394866479457</c:v>
                </c:pt>
                <c:pt idx="538">
                  <c:v>5.8612863803878463</c:v>
                </c:pt>
                <c:pt idx="539">
                  <c:v>5.6788746102759466</c:v>
                </c:pt>
                <c:pt idx="540">
                  <c:v>5.5005488268195233</c:v>
                </c:pt>
                <c:pt idx="541">
                  <c:v>5.3262552074373737</c:v>
                </c:pt>
                <c:pt idx="542">
                  <c:v>5.1559414197505697</c:v>
                </c:pt>
                <c:pt idx="543">
                  <c:v>4.989556586103161</c:v>
                </c:pt>
                <c:pt idx="544">
                  <c:v>4.8270512492675515</c:v>
                </c:pt>
                <c:pt idx="545">
                  <c:v>4.6683773392909051</c:v>
                </c:pt>
                <c:pt idx="546">
                  <c:v>4.5134881414403543</c:v>
                </c:pt>
                <c:pt idx="547">
                  <c:v>4.362338265206108</c:v>
                </c:pt>
                <c:pt idx="548">
                  <c:v>4.2148836143228827</c:v>
                </c:pt>
                <c:pt idx="549">
                  <c:v>4.0710813577711109</c:v>
                </c:pt>
                <c:pt idx="550">
                  <c:v>3.9308899017205112</c:v>
                </c:pt>
                <c:pt idx="551">
                  <c:v>3.7942688623794689</c:v>
                </c:pt>
                <c:pt idx="552">
                  <c:v>3.6611790397145172</c:v>
                </c:pt>
                <c:pt idx="553">
                  <c:v>3.531582392004891</c:v>
                </c:pt>
                <c:pt idx="554">
                  <c:v>3.4054420111977328</c:v>
                </c:pt>
                <c:pt idx="555">
                  <c:v>3.2827220990299524</c:v>
                </c:pt>
                <c:pt idx="556">
                  <c:v>3.1633879438831056</c:v>
                </c:pt>
                <c:pt idx="557">
                  <c:v>3.0474058983378414</c:v>
                </c:pt>
                <c:pt idx="558">
                  <c:v>2.9347433573944985</c:v>
                </c:pt>
                <c:pt idx="559">
                  <c:v>2.8253687373263574</c:v>
                </c:pt>
                <c:pt idx="560">
                  <c:v>2.7192514551317752</c:v>
                </c:pt>
                <c:pt idx="561">
                  <c:v>2.6163619085509997</c:v>
                </c:pt>
                <c:pt idx="562">
                  <c:v>2.5166714566128143</c:v>
                </c:pt>
                <c:pt idx="563">
                  <c:v>2.4201524006753981</c:v>
                </c:pt>
                <c:pt idx="564">
                  <c:v>2.3267779659246952</c:v>
                </c:pt>
                <c:pt idx="565">
                  <c:v>2.2365222832923806</c:v>
                </c:pt>
                <c:pt idx="566">
                  <c:v>2.1493603717540002</c:v>
                </c:pt>
                <c:pt idx="567">
                  <c:v>2.065268120966159</c:v>
                </c:pt>
                <c:pt idx="568">
                  <c:v>1.9842222741996025</c:v>
                </c:pt>
                <c:pt idx="569">
                  <c:v>1.9062004115228259</c:v>
                </c:pt>
                <c:pt idx="570">
                  <c:v>1.8311809331883229</c:v>
                </c:pt>
                <c:pt idx="571">
                  <c:v>1.759143043170819</c:v>
                </c:pt>
                <c:pt idx="572">
                  <c:v>1.6900667328038155</c:v>
                </c:pt>
                <c:pt idx="573">
                  <c:v>1.6239327644575778</c:v>
                </c:pt>
                <c:pt idx="574">
                  <c:v>1.5607226551982722</c:v>
                </c:pt>
                <c:pt idx="575">
                  <c:v>1.5004186603644651</c:v>
                </c:pt>
                <c:pt idx="576">
                  <c:v>1.4430037569936762</c:v>
                </c:pt>
                <c:pt idx="577">
                  <c:v>1.38846162702821</c:v>
                </c:pt>
                <c:pt idx="578">
                  <c:v>1.3367766402262968</c:v>
                </c:pt>
                <c:pt idx="579">
                  <c:v>1.287933836701789</c:v>
                </c:pt>
                <c:pt idx="580">
                  <c:v>1.2419189090134961</c:v>
                </c:pt>
                <c:pt idx="581">
                  <c:v>1.1987181837240271</c:v>
                </c:pt>
                <c:pt idx="582">
                  <c:v>1.1583186023479692</c:v>
                </c:pt>
                <c:pt idx="583">
                  <c:v>1.1207077016108011</c:v>
                </c:pt>
                <c:pt idx="584">
                  <c:v>1.0858735929433765</c:v>
                </c:pt>
                <c:pt idx="585">
                  <c:v>1.0538049411425985</c:v>
                </c:pt>
                <c:pt idx="586">
                  <c:v>1.0244909421372952</c:v>
                </c:pt>
                <c:pt idx="587">
                  <c:v>0.99792129980968269</c:v>
                </c:pt>
                <c:pt idx="588">
                  <c:v>0.97408620183728478</c:v>
                </c:pt>
                <c:pt idx="589">
                  <c:v>0.95297629453792942</c:v>
                </c:pt>
                <c:pt idx="590">
                  <c:v>0.93458265672127805</c:v>
                </c:pt>
                <c:pt idx="591">
                  <c:v>0.91889677257395475</c:v>
                </c:pt>
                <c:pt idx="592">
                  <c:v>0.90591050363117165</c:v>
                </c:pt>
                <c:pt idx="593">
                  <c:v>0.8956160599148939</c:v>
                </c:pt>
                <c:pt idx="594">
                  <c:v>0.88800597034606465</c:v>
                </c:pt>
                <c:pt idx="595">
                  <c:v>0.88307305256484347</c:v>
                </c:pt>
                <c:pt idx="596">
                  <c:v>0.88081038231697917</c:v>
                </c:pt>
                <c:pt idx="597">
                  <c:v>0.88121126258482263</c:v>
                </c:pt>
                <c:pt idx="598">
                  <c:v>0.88426919265703263</c:v>
                </c:pt>
                <c:pt idx="599">
                  <c:v>0.88997783734058888</c:v>
                </c:pt>
                <c:pt idx="600">
                  <c:v>0.89833099652184034</c:v>
                </c:pt>
                <c:pt idx="601">
                  <c:v>0.90932257527964411</c:v>
                </c:pt>
                <c:pt idx="602">
                  <c:v>0.92294655474354914</c:v>
                </c:pt>
                <c:pt idx="603">
                  <c:v>0.93919696387404461</c:v>
                </c:pt>
                <c:pt idx="604">
                  <c:v>0.9580678523211591</c:v>
                </c:pt>
                <c:pt idx="605">
                  <c:v>0.97955326449343338</c:v>
                </c:pt>
                <c:pt idx="606">
                  <c:v>1.0036472149428264</c:v>
                </c:pt>
                <c:pt idx="607">
                  <c:v>1.0303436651438596</c:v>
                </c:pt>
                <c:pt idx="608">
                  <c:v>1.0596365017184752</c:v>
                </c:pt>
                <c:pt idx="609">
                  <c:v>1.0915195161327369</c:v>
                </c:pt>
                <c:pt idx="610">
                  <c:v>1.1259863858685071</c:v>
                </c:pt>
                <c:pt idx="611">
                  <c:v>1.1630306570530622</c:v>
                </c:pt>
                <c:pt idx="612">
                  <c:v>1.2026457285126415</c:v>
                </c:pt>
                <c:pt idx="613">
                  <c:v>1.244824837202215</c:v>
                </c:pt>
                <c:pt idx="614">
                  <c:v>1.2895610449532222</c:v>
                </c:pt>
                <c:pt idx="615">
                  <c:v>1.336847226473455</c:v>
                </c:pt>
                <c:pt idx="616">
                  <c:v>1.3866760585282947</c:v>
                </c:pt>
                <c:pt idx="617">
                  <c:v>1.4390400102298651</c:v>
                </c:pt>
                <c:pt idx="618">
                  <c:v>1.4939313343598835</c:v>
                </c:pt>
                <c:pt idx="619">
                  <c:v>1.5513420596527421</c:v>
                </c:pt>
                <c:pt idx="620">
                  <c:v>1.6112639839673266</c:v>
                </c:pt>
                <c:pt idx="621">
                  <c:v>1.6736886682788998</c:v>
                </c:pt>
                <c:pt idx="622">
                  <c:v>1.7386074314258295</c:v>
                </c:pt>
                <c:pt idx="623">
                  <c:v>1.8060113455498157</c:v>
                </c:pt>
                <c:pt idx="624">
                  <c:v>1.8758912321723267</c:v>
                </c:pt>
                <c:pt idx="625">
                  <c:v>1.9482376588541221</c:v>
                </c:pt>
                <c:pt idx="626">
                  <c:v>2.0230409363888562</c:v>
                </c:pt>
                <c:pt idx="627">
                  <c:v>2.1002911164857641</c:v>
                </c:pt>
                <c:pt idx="628">
                  <c:v>2.1799779899002636</c:v>
                </c:pt>
                <c:pt idx="629">
                  <c:v>2.2620910849749656</c:v>
                </c:pt>
                <c:pt idx="630">
                  <c:v>2.3466196665569288</c:v>
                </c:pt>
                <c:pt idx="631">
                  <c:v>2.433552735260224</c:v>
                </c:pt>
                <c:pt idx="632">
                  <c:v>2.5228790270456853</c:v>
                </c:pt>
                <c:pt idx="633">
                  <c:v>2.6145870130925051</c:v>
                </c:pt>
                <c:pt idx="634">
                  <c:v>2.7086648999386629</c:v>
                </c:pt>
                <c:pt idx="635">
                  <c:v>2.8051006298694481</c:v>
                </c:pt>
                <c:pt idx="636">
                  <c:v>2.9038818815353182</c:v>
                </c:pt>
                <c:pt idx="637">
                  <c:v>3.0049960707821723</c:v>
                </c:pt>
                <c:pt idx="638">
                  <c:v>3.1084303516786851</c:v>
                </c:pt>
                <c:pt idx="639">
                  <c:v>3.2141716177269015</c:v>
                </c:pt>
                <c:pt idx="640">
                  <c:v>3.3222065032435513</c:v>
                </c:pt>
                <c:pt idx="641">
                  <c:v>3.4325213849007361</c:v>
                </c:pt>
                <c:pt idx="642">
                  <c:v>3.5451023834157152</c:v>
                </c:pt>
                <c:pt idx="643">
                  <c:v>3.6599353653804569</c:v>
                </c:pt>
                <c:pt idx="644">
                  <c:v>3.7770059452224753</c:v>
                </c:pt>
                <c:pt idx="645">
                  <c:v>3.8962994872892187</c:v>
                </c:pt>
                <c:pt idx="646">
                  <c:v>4.0178011080489719</c:v>
                </c:pt>
                <c:pt idx="647">
                  <c:v>4.1414956784018564</c:v>
                </c:pt>
                <c:pt idx="648">
                  <c:v>4.2673678260949721</c:v>
                </c:pt>
                <c:pt idx="649">
                  <c:v>4.3954019382363638</c:v>
                </c:pt>
                <c:pt idx="650">
                  <c:v>4.5255821639027456</c:v>
                </c:pt>
                <c:pt idx="651">
                  <c:v>4.6578924168364511</c:v>
                </c:pt>
                <c:pt idx="652">
                  <c:v>4.7923163782273477</c:v>
                </c:pt>
                <c:pt idx="653">
                  <c:v>4.9288374995757849</c:v>
                </c:pt>
                <c:pt idx="654">
                  <c:v>5.0674390056329139</c:v>
                </c:pt>
                <c:pt idx="655">
                  <c:v>5.2081038974149658</c:v>
                </c:pt>
                <c:pt idx="656">
                  <c:v>5.3508149552883193</c:v>
                </c:pt>
                <c:pt idx="657">
                  <c:v>5.4955547421223496</c:v>
                </c:pt>
                <c:pt idx="658">
                  <c:v>5.6423056065072359</c:v>
                </c:pt>
                <c:pt idx="659">
                  <c:v>5.7910496860340901</c:v>
                </c:pt>
                <c:pt idx="660">
                  <c:v>5.9417689106348694</c:v>
                </c:pt>
                <c:pt idx="661">
                  <c:v>6.0944450059797175</c:v>
                </c:pt>
                <c:pt idx="662">
                  <c:v>6.2490594969294087</c:v>
                </c:pt>
                <c:pt idx="663">
                  <c:v>6.4055937110407717</c:v>
                </c:pt>
                <c:pt idx="664">
                  <c:v>6.5640287821229455</c:v>
                </c:pt>
                <c:pt idx="665">
                  <c:v>6.7243456538425495</c:v>
                </c:pt>
                <c:pt idx="666">
                  <c:v>6.8865250833757177</c:v>
                </c:pt>
                <c:pt idx="667">
                  <c:v>7.0505476451052624</c:v>
                </c:pt>
                <c:pt idx="668">
                  <c:v>7.2163937343610671</c:v>
                </c:pt>
                <c:pt idx="669">
                  <c:v>7.3840435712019188</c:v>
                </c:pt>
                <c:pt idx="670">
                  <c:v>7.5534772042372209</c:v>
                </c:pt>
                <c:pt idx="671">
                  <c:v>7.7246745144867219</c:v>
                </c:pt>
                <c:pt idx="672">
                  <c:v>7.8976152192767612</c:v>
                </c:pt>
                <c:pt idx="673">
                  <c:v>8.0722788761713815</c:v>
                </c:pt>
                <c:pt idx="674">
                  <c:v>8.2486448869367344</c:v>
                </c:pt>
                <c:pt idx="675">
                  <c:v>8.4266925015372287</c:v>
                </c:pt>
                <c:pt idx="676">
                  <c:v>8.6064008221618948</c:v>
                </c:pt>
                <c:pt idx="677">
                  <c:v>8.7877488072795078</c:v>
                </c:pt>
                <c:pt idx="678">
                  <c:v>8.9707152757208792</c:v>
                </c:pt>
                <c:pt idx="679">
                  <c:v>9.1552789107870112</c:v>
                </c:pt>
                <c:pt idx="680">
                  <c:v>9.3414182643814634</c:v>
                </c:pt>
                <c:pt idx="681">
                  <c:v>9.5291117611656553</c:v>
                </c:pt>
                <c:pt idx="682">
                  <c:v>9.7183377027356137</c:v>
                </c:pt>
                <c:pt idx="683">
                  <c:v>9.9090742718187244</c:v>
                </c:pt>
                <c:pt idx="684">
                  <c:v>10.101299536489103</c:v>
                </c:pt>
                <c:pt idx="685">
                  <c:v>10.294991454400224</c:v>
                </c:pt>
                <c:pt idx="686">
                  <c:v>10.490127877033318</c:v>
                </c:pt>
                <c:pt idx="687">
                  <c:v>10.686686553960309</c:v>
                </c:pt>
                <c:pt idx="688">
                  <c:v>10.884645137119708</c:v>
                </c:pt>
                <c:pt idx="689">
                  <c:v>11.083981185104312</c:v>
                </c:pt>
                <c:pt idx="690">
                  <c:v>11.284672167459179</c:v>
                </c:pt>
                <c:pt idx="691">
                  <c:v>11.486695468988589</c:v>
                </c:pt>
                <c:pt idx="692">
                  <c:v>11.690028394070682</c:v>
                </c:pt>
                <c:pt idx="693">
                  <c:v>11.894648170978281</c:v>
                </c:pt>
                <c:pt idx="694">
                  <c:v>12.100531956204758</c:v>
                </c:pt>
                <c:pt idx="695">
                  <c:v>12.307656838793436</c:v>
                </c:pt>
                <c:pt idx="696">
                  <c:v>12.51599984466929</c:v>
                </c:pt>
                <c:pt idx="697">
                  <c:v>12.725537940971567</c:v>
                </c:pt>
                <c:pt idx="698">
                  <c:v>12.936248040386079</c:v>
                </c:pt>
                <c:pt idx="699">
                  <c:v>13.148107005475772</c:v>
                </c:pt>
                <c:pt idx="700">
                  <c:v>13.361091653008305</c:v>
                </c:pt>
                <c:pt idx="701">
                  <c:v>13.575178758279346</c:v>
                </c:pt>
                <c:pt idx="702">
                  <c:v>13.790345059430262</c:v>
                </c:pt>
                <c:pt idx="703">
                  <c:v>14.006567261758944</c:v>
                </c:pt>
                <c:pt idx="704">
                  <c:v>14.223822042022448</c:v>
                </c:pt>
                <c:pt idx="705">
                  <c:v>14.442086052730213</c:v>
                </c:pt>
                <c:pt idx="706">
                  <c:v>14.661335926426565</c:v>
                </c:pt>
                <c:pt idx="707">
                  <c:v>14.88154827996126</c:v>
                </c:pt>
                <c:pt idx="708">
                  <c:v>15.102699718746839</c:v>
                </c:pt>
                <c:pt idx="709">
                  <c:v>15.324766841001443</c:v>
                </c:pt>
                <c:pt idx="710">
                  <c:v>15.547726241976058</c:v>
                </c:pt>
                <c:pt idx="711">
                  <c:v>15.771554518164736</c:v>
                </c:pt>
                <c:pt idx="712">
                  <c:v>15.996228271496776</c:v>
                </c:pt>
                <c:pt idx="713">
                  <c:v>16.22172411350952</c:v>
                </c:pt>
                <c:pt idx="714">
                  <c:v>16.448018669500605</c:v>
                </c:pt>
                <c:pt idx="715">
                  <c:v>16.675088582658621</c:v>
                </c:pt>
                <c:pt idx="716">
                  <c:v>16.902910518170771</c:v>
                </c:pt>
                <c:pt idx="717">
                  <c:v>17.131461167306608</c:v>
                </c:pt>
                <c:pt idx="718">
                  <c:v>17.360717251476459</c:v>
                </c:pt>
                <c:pt idx="719">
                  <c:v>17.590655526263721</c:v>
                </c:pt>
                <c:pt idx="720">
                  <c:v>17.8212527854296</c:v>
                </c:pt>
                <c:pt idx="721">
                  <c:v>18.052485864889377</c:v>
                </c:pt>
                <c:pt idx="722">
                  <c:v>18.284331646659016</c:v>
                </c:pt>
                <c:pt idx="723">
                  <c:v>18.516767062771127</c:v>
                </c:pt>
                <c:pt idx="724">
                  <c:v>18.749769099159177</c:v>
                </c:pt>
                <c:pt idx="725">
                  <c:v>18.983314799508854</c:v>
                </c:pt>
                <c:pt idx="726">
                  <c:v>19.217381269075627</c:v>
                </c:pt>
                <c:pt idx="727">
                  <c:v>19.451945678467538</c:v>
                </c:pt>
                <c:pt idx="728">
                  <c:v>19.686985267392025</c:v>
                </c:pt>
                <c:pt idx="729">
                  <c:v>19.922477348366112</c:v>
                </c:pt>
                <c:pt idx="730">
                  <c:v>20.158399310388646</c:v>
                </c:pt>
                <c:pt idx="731">
                  <c:v>20.394728622574011</c:v>
                </c:pt>
                <c:pt idx="732">
                  <c:v>20.631442837746064</c:v>
                </c:pt>
                <c:pt idx="733">
                  <c:v>20.86851959599165</c:v>
                </c:pt>
                <c:pt idx="734">
                  <c:v>21.105936628172611</c:v>
                </c:pt>
                <c:pt idx="735">
                  <c:v>21.34367175939558</c:v>
                </c:pt>
                <c:pt idx="736">
                  <c:v>21.581702912438619</c:v>
                </c:pt>
                <c:pt idx="737">
                  <c:v>21.820008111133934</c:v>
                </c:pt>
                <c:pt idx="738">
                  <c:v>22.05856548370582</c:v>
                </c:pt>
                <c:pt idx="739">
                  <c:v>22.297353266063048</c:v>
                </c:pt>
                <c:pt idx="740">
                  <c:v>22.536349805045027</c:v>
                </c:pt>
                <c:pt idx="741">
                  <c:v>22.7755335616209</c:v>
                </c:pt>
                <c:pt idx="742">
                  <c:v>23.014883114040853</c:v>
                </c:pt>
                <c:pt idx="743">
                  <c:v>23.254377160939015</c:v>
                </c:pt>
                <c:pt idx="744">
                  <c:v>23.493994524387315</c:v>
                </c:pt>
                <c:pt idx="745">
                  <c:v>23.733714152899356</c:v>
                </c:pt>
                <c:pt idx="746">
                  <c:v>23.97351512438421</c:v>
                </c:pt>
                <c:pt idx="747">
                  <c:v>24.213376649048946</c:v>
                </c:pt>
                <c:pt idx="748">
                  <c:v>24.453278072249692</c:v>
                </c:pt>
                <c:pt idx="749">
                  <c:v>24.693198877290573</c:v>
                </c:pt>
                <c:pt idx="750">
                  <c:v>24.933118688169987</c:v>
                </c:pt>
                <c:pt idx="751">
                  <c:v>25.173017272273636</c:v>
                </c:pt>
                <c:pt idx="752">
                  <c:v>25.412874543014016</c:v>
                </c:pt>
                <c:pt idx="753">
                  <c:v>25.652670562415654</c:v>
                </c:pt>
                <c:pt idx="754">
                  <c:v>25.892385543645869</c:v>
                </c:pt>
                <c:pt idx="755">
                  <c:v>26.13199985349052</c:v>
                </c:pt>
                <c:pt idx="756">
                  <c:v>26.371494014774509</c:v>
                </c:pt>
                <c:pt idx="757">
                  <c:v>26.610848708726337</c:v>
                </c:pt>
                <c:pt idx="758">
                  <c:v>26.850044777286769</c:v>
                </c:pt>
                <c:pt idx="759">
                  <c:v>27.089063225361169</c:v>
                </c:pt>
                <c:pt idx="760">
                  <c:v>27.327885223014952</c:v>
                </c:pt>
                <c:pt idx="761">
                  <c:v>27.566492107612262</c:v>
                </c:pt>
                <c:pt idx="762">
                  <c:v>27.804865385897489</c:v>
                </c:pt>
                <c:pt idx="763">
                  <c:v>28.042986736019273</c:v>
                </c:pt>
                <c:pt idx="764">
                  <c:v>28.280838009497007</c:v>
                </c:pt>
                <c:pt idx="765">
                  <c:v>28.518401233129577</c:v>
                </c:pt>
                <c:pt idx="766">
                  <c:v>28.755658610846183</c:v>
                </c:pt>
                <c:pt idx="767">
                  <c:v>28.992592525499152</c:v>
                </c:pt>
                <c:pt idx="768">
                  <c:v>29.229185540598674</c:v>
                </c:pt>
                <c:pt idx="769">
                  <c:v>29.46542040198921</c:v>
                </c:pt>
                <c:pt idx="770">
                  <c:v>29.701280039467868</c:v>
                </c:pt>
                <c:pt idx="771">
                  <c:v>29.936747568344384</c:v>
                </c:pt>
                <c:pt idx="772">
                  <c:v>30.17180629094284</c:v>
                </c:pt>
                <c:pt idx="773">
                  <c:v>30.406439698045286</c:v>
                </c:pt>
                <c:pt idx="774">
                  <c:v>30.640631470276912</c:v>
                </c:pt>
                <c:pt idx="775">
                  <c:v>30.874365479433365</c:v>
                </c:pt>
                <c:pt idx="776">
                  <c:v>31.107625789749889</c:v>
                </c:pt>
                <c:pt idx="777">
                  <c:v>31.340396659112564</c:v>
                </c:pt>
                <c:pt idx="778">
                  <c:v>31.572662540211745</c:v>
                </c:pt>
                <c:pt idx="779">
                  <c:v>31.804408081637916</c:v>
                </c:pt>
                <c:pt idx="780">
                  <c:v>32.035618128920113</c:v>
                </c:pt>
                <c:pt idx="781">
                  <c:v>32.266277725507045</c:v>
                </c:pt>
                <c:pt idx="782">
                  <c:v>32.496372113691102</c:v>
                </c:pt>
                <c:pt idx="783">
                  <c:v>32.725886735475918</c:v>
                </c:pt>
                <c:pt idx="784">
                  <c:v>32.954807233386987</c:v>
                </c:pt>
                <c:pt idx="785">
                  <c:v>33.183119451226297</c:v>
                </c:pt>
                <c:pt idx="786">
                  <c:v>33.410809434771018</c:v>
                </c:pt>
                <c:pt idx="787">
                  <c:v>33.637863432416573</c:v>
                </c:pt>
                <c:pt idx="788">
                  <c:v>33.864267895764229</c:v>
                </c:pt>
                <c:pt idx="789">
                  <c:v>34.090009480154222</c:v>
                </c:pt>
                <c:pt idx="790">
                  <c:v>34.315075045143892</c:v>
                </c:pt>
                <c:pt idx="791">
                  <c:v>34.539451654931973</c:v>
                </c:pt>
                <c:pt idx="792">
                  <c:v>34.763126578729086</c:v>
                </c:pt>
                <c:pt idx="793">
                  <c:v>34.986087291074931</c:v>
                </c:pt>
                <c:pt idx="794">
                  <c:v>35.208321472102661</c:v>
                </c:pt>
                <c:pt idx="795">
                  <c:v>35.429817007750948</c:v>
                </c:pt>
                <c:pt idx="796">
                  <c:v>35.650561989924</c:v>
                </c:pt>
                <c:pt idx="797">
                  <c:v>35.870544716600421</c:v>
                </c:pt>
                <c:pt idx="798">
                  <c:v>36.089753691890941</c:v>
                </c:pt>
                <c:pt idx="799">
                  <c:v>36.308177626046088</c:v>
                </c:pt>
                <c:pt idx="800">
                  <c:v>36.525805435413666</c:v>
                </c:pt>
                <c:pt idx="801">
                  <c:v>36.742626242347391</c:v>
                </c:pt>
                <c:pt idx="802">
                  <c:v>36.958629375066643</c:v>
                </c:pt>
                <c:pt idx="803">
                  <c:v>37.173804367468051</c:v>
                </c:pt>
                <c:pt idx="804">
                  <c:v>37.38814095888975</c:v>
                </c:pt>
                <c:pt idx="805">
                  <c:v>37.601629093828528</c:v>
                </c:pt>
                <c:pt idx="806">
                  <c:v>37.814258921610985</c:v>
                </c:pt>
                <c:pt idx="807">
                  <c:v>38.026020796018742</c:v>
                </c:pt>
                <c:pt idx="808">
                  <c:v>38.236905274868889</c:v>
                </c:pt>
                <c:pt idx="809">
                  <c:v>38.446903119549795</c:v>
                </c:pt>
                <c:pt idx="810">
                  <c:v>38.656005294513641</c:v>
                </c:pt>
                <c:pt idx="811">
                  <c:v>38.864202966725443</c:v>
                </c:pt>
                <c:pt idx="812">
                  <c:v>39.071487505070131</c:v>
                </c:pt>
                <c:pt idx="813">
                  <c:v>39.27785047971777</c:v>
                </c:pt>
                <c:pt idx="814">
                  <c:v>39.48328366144785</c:v>
                </c:pt>
                <c:pt idx="815">
                  <c:v>39.687779020933391</c:v>
                </c:pt>
                <c:pt idx="816">
                  <c:v>39.891328727985325</c:v>
                </c:pt>
                <c:pt idx="817">
                  <c:v>40.093925150758359</c:v>
                </c:pt>
                <c:pt idx="818">
                  <c:v>40.295560854918413</c:v>
                </c:pt>
                <c:pt idx="819">
                  <c:v>40.496228602772959</c:v>
                </c:pt>
                <c:pt idx="820">
                  <c:v>40.695921352364458</c:v>
                </c:pt>
                <c:pt idx="821">
                  <c:v>40.894632256528119</c:v>
                </c:pt>
                <c:pt idx="822">
                  <c:v>41.092354661914463</c:v>
                </c:pt>
                <c:pt idx="823">
                  <c:v>41.289082107977357</c:v>
                </c:pt>
                <c:pt idx="824">
                  <c:v>41.484808325928618</c:v>
                </c:pt>
                <c:pt idx="825">
                  <c:v>41.679527237659528</c:v>
                </c:pt>
                <c:pt idx="826">
                  <c:v>41.873232954630211</c:v>
                </c:pt>
                <c:pt idx="827">
                  <c:v>42.065919776727881</c:v>
                </c:pt>
                <c:pt idx="828">
                  <c:v>42.257582191094286</c:v>
                </c:pt>
                <c:pt idx="829">
                  <c:v>42.448214870923145</c:v>
                </c:pt>
                <c:pt idx="830">
                  <c:v>42.637812674229011</c:v>
                </c:pt>
                <c:pt idx="831">
                  <c:v>42.826370642587264</c:v>
                </c:pt>
                <c:pt idx="832">
                  <c:v>43.01388399984684</c:v>
                </c:pt>
                <c:pt idx="833">
                  <c:v>43.200348150816339</c:v>
                </c:pt>
                <c:pt idx="834">
                  <c:v>43.385758679923619</c:v>
                </c:pt>
                <c:pt idx="835">
                  <c:v>43.570111349850698</c:v>
                </c:pt>
                <c:pt idx="836">
                  <c:v>43.753402100143866</c:v>
                </c:pt>
                <c:pt idx="837">
                  <c:v>43.935627045800118</c:v>
                </c:pt>
                <c:pt idx="838">
                  <c:v>44.116782475830661</c:v>
                </c:pt>
                <c:pt idx="839">
                  <c:v>44.296864851802226</c:v>
                </c:pt>
                <c:pt idx="840">
                  <c:v>44.475870806356895</c:v>
                </c:pt>
                <c:pt idx="841">
                  <c:v>44.653797141711408</c:v>
                </c:pt>
                <c:pt idx="842">
                  <c:v>44.830640828136232</c:v>
                </c:pt>
                <c:pt idx="843">
                  <c:v>45.006399002415755</c:v>
                </c:pt>
                <c:pt idx="844">
                  <c:v>45.181068966289828</c:v>
                </c:pt>
                <c:pt idx="845">
                  <c:v>45.354648184877618</c:v>
                </c:pt>
                <c:pt idx="846">
                  <c:v>45.527134285084671</c:v>
                </c:pt>
                <c:pt idx="847">
                  <c:v>45.698525053993492</c:v>
                </c:pt>
                <c:pt idx="848">
                  <c:v>45.868818437238758</c:v>
                </c:pt>
                <c:pt idx="849">
                  <c:v>46.038012537367663</c:v>
                </c:pt>
                <c:pt idx="850">
                  <c:v>46.206105612186249</c:v>
                </c:pt>
                <c:pt idx="851">
                  <c:v>46.373096073092292</c:v>
                </c:pt>
                <c:pt idx="852">
                  <c:v>46.538982483395593</c:v>
                </c:pt>
                <c:pt idx="853">
                  <c:v>46.703763556626235</c:v>
                </c:pt>
                <c:pt idx="854">
                  <c:v>46.867438154831518</c:v>
                </c:pt>
                <c:pt idx="855">
                  <c:v>47.030005286862462</c:v>
                </c:pt>
                <c:pt idx="856">
                  <c:v>47.191464106650137</c:v>
                </c:pt>
                <c:pt idx="857">
                  <c:v>47.351813911472988</c:v>
                </c:pt>
                <c:pt idx="858">
                  <c:v>47.5110541402154</c:v>
                </c:pt>
                <c:pt idx="859">
                  <c:v>47.66918437161835</c:v>
                </c:pt>
                <c:pt idx="860">
                  <c:v>47.82620432252282</c:v>
                </c:pt>
                <c:pt idx="861">
                  <c:v>47.982113846106557</c:v>
                </c:pt>
                <c:pt idx="862">
                  <c:v>48.136912930114626</c:v>
                </c:pt>
                <c:pt idx="863">
                  <c:v>48.290601695084938</c:v>
                </c:pt>
                <c:pt idx="864">
                  <c:v>48.443180392568614</c:v>
                </c:pt>
                <c:pt idx="865">
                  <c:v>48.594649403346345</c:v>
                </c:pt>
                <c:pt idx="866">
                  <c:v>48.745009235641199</c:v>
                </c:pt>
                <c:pt idx="867">
                  <c:v>48.894260523328271</c:v>
                </c:pt>
                <c:pt idx="868">
                  <c:v>49.042404024142087</c:v>
                </c:pt>
                <c:pt idx="869">
                  <c:v>49.189440617882184</c:v>
                </c:pt>
                <c:pt idx="870">
                  <c:v>49.335371304617155</c:v>
                </c:pt>
                <c:pt idx="871">
                  <c:v>49.480197202888185</c:v>
                </c:pt>
                <c:pt idx="872">
                  <c:v>49.623919547912458</c:v>
                </c:pt>
                <c:pt idx="873">
                  <c:v>49.766539689786541</c:v>
                </c:pt>
                <c:pt idx="874">
                  <c:v>49.908059091691172</c:v>
                </c:pt>
                <c:pt idx="875">
                  <c:v>50.048479328096903</c:v>
                </c:pt>
                <c:pt idx="876">
                  <c:v>50.187802082972055</c:v>
                </c:pt>
                <c:pt idx="877">
                  <c:v>50.326029147992713</c:v>
                </c:pt>
                <c:pt idx="878">
                  <c:v>50.463162420755872</c:v>
                </c:pt>
                <c:pt idx="879">
                  <c:v>50.599203902995711</c:v>
                </c:pt>
                <c:pt idx="880">
                  <c:v>50.734155698803953</c:v>
                </c:pt>
                <c:pt idx="881">
                  <c:v>50.868020012854046</c:v>
                </c:pt>
                <c:pt idx="882">
                  <c:v>51.00079914863057</c:v>
                </c:pt>
                <c:pt idx="883">
                  <c:v>51.132495506663346</c:v>
                </c:pt>
                <c:pt idx="884">
                  <c:v>51.26311158276755</c:v>
                </c:pt>
                <c:pt idx="885">
                  <c:v>51.392649966289468</c:v>
                </c:pt>
                <c:pt idx="886">
                  <c:v>51.521113338358731</c:v>
                </c:pt>
                <c:pt idx="887">
                  <c:v>51.648504470147564</c:v>
                </c:pt>
                <c:pt idx="888">
                  <c:v>51.774826221136969</c:v>
                </c:pt>
                <c:pt idx="889">
                  <c:v>51.90008153739069</c:v>
                </c:pt>
                <c:pt idx="890">
                  <c:v>52.02427344983677</c:v>
                </c:pt>
                <c:pt idx="891">
                  <c:v>52.147405072557888</c:v>
                </c:pt>
                <c:pt idx="892">
                  <c:v>52.26947960108987</c:v>
                </c:pt>
                <c:pt idx="893">
                  <c:v>52.390500310729514</c:v>
                </c:pt>
                <c:pt idx="894">
                  <c:v>52.510470554851665</c:v>
                </c:pt>
                <c:pt idx="895">
                  <c:v>52.629393763235619</c:v>
                </c:pt>
                <c:pt idx="896">
                  <c:v>52.747273440401884</c:v>
                </c:pt>
                <c:pt idx="897">
                  <c:v>52.864113163959026</c:v>
                </c:pt>
                <c:pt idx="898">
                  <c:v>52.979916582960897</c:v>
                </c:pt>
                <c:pt idx="899">
                  <c:v>53.094687416274873</c:v>
                </c:pt>
                <c:pt idx="900">
                  <c:v>53.208429450961127</c:v>
                </c:pt>
                <c:pt idx="901">
                  <c:v>53.321146540663165</c:v>
                </c:pt>
                <c:pt idx="902">
                  <c:v>53.432842604010148</c:v>
                </c:pt>
                <c:pt idx="903">
                  <c:v>53.543521623030863</c:v>
                </c:pt>
                <c:pt idx="904">
                  <c:v>53.653187641579841</c:v>
                </c:pt>
                <c:pt idx="905">
                  <c:v>53.761844763775905</c:v>
                </c:pt>
                <c:pt idx="906">
                  <c:v>53.869497152453171</c:v>
                </c:pt>
                <c:pt idx="907">
                  <c:v>53.976149027624651</c:v>
                </c:pt>
                <c:pt idx="908">
                  <c:v>54.081804664959009</c:v>
                </c:pt>
                <c:pt idx="909">
                  <c:v>54.186468394270435</c:v>
                </c:pt>
                <c:pt idx="910">
                  <c:v>54.290144598021733</c:v>
                </c:pt>
                <c:pt idx="911">
                  <c:v>54.392837709840691</c:v>
                </c:pt>
                <c:pt idx="912">
                  <c:v>54.494552213050916</c:v>
                </c:pt>
                <c:pt idx="913">
                  <c:v>54.595292639215295</c:v>
                </c:pt>
                <c:pt idx="914">
                  <c:v>54.695063566694678</c:v>
                </c:pt>
                <c:pt idx="915">
                  <c:v>54.793869619219528</c:v>
                </c:pt>
                <c:pt idx="916">
                  <c:v>54.891715464476796</c:v>
                </c:pt>
                <c:pt idx="917">
                  <c:v>54.988605812710475</c:v>
                </c:pt>
                <c:pt idx="918">
                  <c:v>55.08454541533704</c:v>
                </c:pt>
                <c:pt idx="919">
                  <c:v>55.179539063575398</c:v>
                </c:pt>
                <c:pt idx="920">
                  <c:v>55.273591587091389</c:v>
                </c:pt>
                <c:pt idx="921">
                  <c:v>55.366707852657456</c:v>
                </c:pt>
                <c:pt idx="922">
                  <c:v>55.458892762826835</c:v>
                </c:pt>
                <c:pt idx="923">
                  <c:v>55.550151254623039</c:v>
                </c:pt>
                <c:pt idx="924">
                  <c:v>55.640488298244186</c:v>
                </c:pt>
                <c:pt idx="925">
                  <c:v>55.7299088957827</c:v>
                </c:pt>
                <c:pt idx="926">
                  <c:v>55.818418079959912</c:v>
                </c:pt>
                <c:pt idx="927">
                  <c:v>55.906020912876123</c:v>
                </c:pt>
                <c:pt idx="928">
                  <c:v>55.992722484776046</c:v>
                </c:pt>
                <c:pt idx="929">
                  <c:v>56.078527912829337</c:v>
                </c:pt>
                <c:pt idx="930">
                  <c:v>56.07861276180423</c:v>
                </c:pt>
                <c:pt idx="931">
                  <c:v>56.078697609897389</c:v>
                </c:pt>
                <c:pt idx="932">
                  <c:v>56.078782457108915</c:v>
                </c:pt>
                <c:pt idx="933">
                  <c:v>56.07886730343877</c:v>
                </c:pt>
                <c:pt idx="934">
                  <c:v>56.078952148886934</c:v>
                </c:pt>
                <c:pt idx="935">
                  <c:v>56.079036993453492</c:v>
                </c:pt>
                <c:pt idx="936">
                  <c:v>56.079121837138345</c:v>
                </c:pt>
                <c:pt idx="937">
                  <c:v>56.079206679941606</c:v>
                </c:pt>
                <c:pt idx="938">
                  <c:v>56.079291521863219</c:v>
                </c:pt>
                <c:pt idx="939">
                  <c:v>56.07937636290319</c:v>
                </c:pt>
                <c:pt idx="940">
                  <c:v>56.079461203061534</c:v>
                </c:pt>
                <c:pt idx="941">
                  <c:v>56.079546042338258</c:v>
                </c:pt>
                <c:pt idx="942">
                  <c:v>56.079630880733369</c:v>
                </c:pt>
                <c:pt idx="943">
                  <c:v>56.079715718246831</c:v>
                </c:pt>
                <c:pt idx="944">
                  <c:v>56.079800554878751</c:v>
                </c:pt>
                <c:pt idx="945">
                  <c:v>56.079885390629038</c:v>
                </c:pt>
                <c:pt idx="946">
                  <c:v>56.079970225497682</c:v>
                </c:pt>
                <c:pt idx="947">
                  <c:v>56.080055059484827</c:v>
                </c:pt>
                <c:pt idx="948">
                  <c:v>56.08013989259031</c:v>
                </c:pt>
                <c:pt idx="949">
                  <c:v>56.080224724814244</c:v>
                </c:pt>
                <c:pt idx="950">
                  <c:v>56.080309556156578</c:v>
                </c:pt>
                <c:pt idx="951">
                  <c:v>56.080394386617371</c:v>
                </c:pt>
                <c:pt idx="952">
                  <c:v>56.080479216196586</c:v>
                </c:pt>
                <c:pt idx="953">
                  <c:v>56.080564044894246</c:v>
                </c:pt>
                <c:pt idx="954">
                  <c:v>56.08064887271032</c:v>
                </c:pt>
                <c:pt idx="955">
                  <c:v>56.080733699644881</c:v>
                </c:pt>
                <c:pt idx="956">
                  <c:v>56.080818525697879</c:v>
                </c:pt>
                <c:pt idx="957">
                  <c:v>56.080903350869335</c:v>
                </c:pt>
                <c:pt idx="958">
                  <c:v>56.080988175159248</c:v>
                </c:pt>
                <c:pt idx="959">
                  <c:v>56.081072998567642</c:v>
                </c:pt>
                <c:pt idx="960">
                  <c:v>56.081157821094479</c:v>
                </c:pt>
                <c:pt idx="961">
                  <c:v>56.081242642739838</c:v>
                </c:pt>
                <c:pt idx="962">
                  <c:v>56.08132746350369</c:v>
                </c:pt>
                <c:pt idx="963">
                  <c:v>56.081412283385994</c:v>
                </c:pt>
                <c:pt idx="964">
                  <c:v>56.081497102386813</c:v>
                </c:pt>
                <c:pt idx="965">
                  <c:v>56.081581920506103</c:v>
                </c:pt>
                <c:pt idx="966">
                  <c:v>56.081666737743944</c:v>
                </c:pt>
                <c:pt idx="967">
                  <c:v>56.081751554100258</c:v>
                </c:pt>
                <c:pt idx="968">
                  <c:v>56.081836369575086</c:v>
                </c:pt>
                <c:pt idx="969">
                  <c:v>56.081921184168451</c:v>
                </c:pt>
                <c:pt idx="970">
                  <c:v>56.082005997880344</c:v>
                </c:pt>
                <c:pt idx="971">
                  <c:v>56.082090810710767</c:v>
                </c:pt>
                <c:pt idx="972">
                  <c:v>56.082175622659712</c:v>
                </c:pt>
                <c:pt idx="973">
                  <c:v>56.082260433727207</c:v>
                </c:pt>
                <c:pt idx="974">
                  <c:v>56.082345243913252</c:v>
                </c:pt>
                <c:pt idx="975">
                  <c:v>56.082430053217855</c:v>
                </c:pt>
                <c:pt idx="976">
                  <c:v>56.082514861641002</c:v>
                </c:pt>
                <c:pt idx="977">
                  <c:v>56.082599669182699</c:v>
                </c:pt>
                <c:pt idx="978">
                  <c:v>56.082684475842974</c:v>
                </c:pt>
                <c:pt idx="979">
                  <c:v>56.082769281621822</c:v>
                </c:pt>
                <c:pt idx="980">
                  <c:v>56.082854086519269</c:v>
                </c:pt>
                <c:pt idx="981">
                  <c:v>56.08293889053526</c:v>
                </c:pt>
                <c:pt idx="982">
                  <c:v>56.083023693669851</c:v>
                </c:pt>
                <c:pt idx="983">
                  <c:v>56.083108495923014</c:v>
                </c:pt>
                <c:pt idx="984">
                  <c:v>56.08319329729482</c:v>
                </c:pt>
                <c:pt idx="985">
                  <c:v>56.08327809778519</c:v>
                </c:pt>
                <c:pt idx="986">
                  <c:v>56.083362897394167</c:v>
                </c:pt>
                <c:pt idx="987">
                  <c:v>56.083447696121759</c:v>
                </c:pt>
                <c:pt idx="988">
                  <c:v>56.083532493967965</c:v>
                </c:pt>
                <c:pt idx="989">
                  <c:v>56.083617290932793</c:v>
                </c:pt>
                <c:pt idx="990">
                  <c:v>56.083702087016256</c:v>
                </c:pt>
                <c:pt idx="991">
                  <c:v>56.083786882218376</c:v>
                </c:pt>
                <c:pt idx="992">
                  <c:v>56.083871676539083</c:v>
                </c:pt>
                <c:pt idx="993">
                  <c:v>56.083956469978453</c:v>
                </c:pt>
                <c:pt idx="994">
                  <c:v>56.084041262536481</c:v>
                </c:pt>
                <c:pt idx="995">
                  <c:v>56.084126054213151</c:v>
                </c:pt>
                <c:pt idx="996">
                  <c:v>56.084210845008492</c:v>
                </c:pt>
                <c:pt idx="997">
                  <c:v>56.084295634922462</c:v>
                </c:pt>
                <c:pt idx="998">
                  <c:v>56.084380423955125</c:v>
                </c:pt>
                <c:pt idx="999">
                  <c:v>56.084465212106473</c:v>
                </c:pt>
                <c:pt idx="1000">
                  <c:v>56.084549999376499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4-48D6-934B-5D8E0316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0672"/>
        <c:axId val="149502592"/>
      </c:scatterChart>
      <c:valAx>
        <c:axId val="149500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2592"/>
        <c:crosses val="autoZero"/>
        <c:crossBetween val="midCat"/>
      </c:valAx>
      <c:valAx>
        <c:axId val="14950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Forces [N]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333343832020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0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18929827167842"/>
          <c:y val="0.34444479440069992"/>
          <c:w val="0.13050326845936713"/>
          <c:h val="0.22888888888888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Courbes!$B$140</c:f>
          <c:strCache>
            <c:ptCount val="1"/>
            <c:pt idx="0">
              <c:v>Vitesse</c:v>
            </c:pt>
          </c:strCache>
        </c:strRef>
      </c:tx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95283018867926"/>
          <c:y val="9.4771544282144501E-2"/>
          <c:w val="0.87617924528302116"/>
          <c:h val="0.74183243282920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Courbes!$B$140</c:f>
              <c:strCache>
                <c:ptCount val="1"/>
                <c:pt idx="0">
                  <c:v>Vitesse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Calculs!$I$4:$I$1004</c:f>
              <c:numCache>
                <c:formatCode>0.00</c:formatCode>
                <c:ptCount val="1001"/>
                <c:pt idx="0">
                  <c:v>127.88</c:v>
                </c:pt>
                <c:pt idx="1">
                  <c:v>127.86852729956212</c:v>
                </c:pt>
                <c:pt idx="2">
                  <c:v>128.12432483312782</c:v>
                </c:pt>
                <c:pt idx="3">
                  <c:v>128.64738307467212</c:v>
                </c:pt>
                <c:pt idx="4">
                  <c:v>129.43779899677276</c:v>
                </c:pt>
                <c:pt idx="5">
                  <c:v>130.49577498533105</c:v>
                </c:pt>
                <c:pt idx="6">
                  <c:v>131.68604172476526</c:v>
                </c:pt>
                <c:pt idx="7">
                  <c:v>132.87309599845631</c:v>
                </c:pt>
                <c:pt idx="8">
                  <c:v>134.05692593675096</c:v>
                </c:pt>
                <c:pt idx="9">
                  <c:v>135.23751974361394</c:v>
                </c:pt>
                <c:pt idx="10">
                  <c:v>136.41486569700601</c:v>
                </c:pt>
                <c:pt idx="11">
                  <c:v>137.58895214925573</c:v>
                </c:pt>
                <c:pt idx="12">
                  <c:v>138.75976752742545</c:v>
                </c:pt>
                <c:pt idx="13">
                  <c:v>139.92730033367104</c:v>
                </c:pt>
                <c:pt idx="14">
                  <c:v>141.09153914559556</c:v>
                </c:pt>
                <c:pt idx="15">
                  <c:v>142.25247261659686</c:v>
                </c:pt>
                <c:pt idx="16">
                  <c:v>143.4100894762089</c:v>
                </c:pt>
                <c:pt idx="17">
                  <c:v>144.56437853043693</c:v>
                </c:pt>
                <c:pt idx="18">
                  <c:v>145.71532866208656</c:v>
                </c:pt>
                <c:pt idx="19">
                  <c:v>146.86292883108635</c:v>
                </c:pt>
                <c:pt idx="20">
                  <c:v>148.00716807480438</c:v>
                </c:pt>
                <c:pt idx="21">
                  <c:v>149.14803550835839</c:v>
                </c:pt>
                <c:pt idx="22">
                  <c:v>150.2855203249197</c:v>
                </c:pt>
                <c:pt idx="23">
                  <c:v>151.41961179601068</c:v>
                </c:pt>
                <c:pt idx="24">
                  <c:v>152.55029927179606</c:v>
                </c:pt>
                <c:pt idx="25">
                  <c:v>153.67757218136779</c:v>
                </c:pt>
                <c:pt idx="26">
                  <c:v>154.80142003302345</c:v>
                </c:pt>
                <c:pt idx="27">
                  <c:v>155.92183241453836</c:v>
                </c:pt>
                <c:pt idx="28">
                  <c:v>157.03879899343144</c:v>
                </c:pt>
                <c:pt idx="29">
                  <c:v>158.1523095172243</c:v>
                </c:pt>
                <c:pt idx="30">
                  <c:v>159.26235381369418</c:v>
                </c:pt>
                <c:pt idx="31">
                  <c:v>160.36892179112036</c:v>
                </c:pt>
                <c:pt idx="32">
                  <c:v>161.4720034385243</c:v>
                </c:pt>
                <c:pt idx="33">
                  <c:v>162.57158882590301</c:v>
                </c:pt>
                <c:pt idx="34">
                  <c:v>163.66766810445617</c:v>
                </c:pt>
                <c:pt idx="35">
                  <c:v>164.76023150680689</c:v>
                </c:pt>
                <c:pt idx="36">
                  <c:v>165.84926934721571</c:v>
                </c:pt>
                <c:pt idx="37">
                  <c:v>166.93477202178843</c:v>
                </c:pt>
                <c:pt idx="38">
                  <c:v>168.01673000867729</c:v>
                </c:pt>
                <c:pt idx="39">
                  <c:v>169.09513386827561</c:v>
                </c:pt>
                <c:pt idx="40">
                  <c:v>170.16997424340636</c:v>
                </c:pt>
                <c:pt idx="41">
                  <c:v>171.2412418595037</c:v>
                </c:pt>
                <c:pt idx="42">
                  <c:v>172.30892752478834</c:v>
                </c:pt>
                <c:pt idx="43">
                  <c:v>173.37302213043662</c:v>
                </c:pt>
                <c:pt idx="44">
                  <c:v>174.43351665074275</c:v>
                </c:pt>
                <c:pt idx="45">
                  <c:v>175.49040214327479</c:v>
                </c:pt>
                <c:pt idx="46">
                  <c:v>176.5436697490241</c:v>
                </c:pt>
                <c:pt idx="47">
                  <c:v>177.5933106925485</c:v>
                </c:pt>
                <c:pt idx="48">
                  <c:v>178.63931628210872</c:v>
                </c:pt>
                <c:pt idx="49">
                  <c:v>179.68167790979879</c:v>
                </c:pt>
                <c:pt idx="50">
                  <c:v>180.72038705166958</c:v>
                </c:pt>
                <c:pt idx="51">
                  <c:v>181.7561542534113</c:v>
                </c:pt>
                <c:pt idx="52">
                  <c:v>182.78969109567586</c:v>
                </c:pt>
                <c:pt idx="53">
                  <c:v>183.82099029879279</c:v>
                </c:pt>
                <c:pt idx="54">
                  <c:v>184.85004463062097</c:v>
                </c:pt>
                <c:pt idx="55">
                  <c:v>185.87684690671625</c:v>
                </c:pt>
                <c:pt idx="56">
                  <c:v>186.90138999049535</c:v>
                </c:pt>
                <c:pt idx="57">
                  <c:v>187.9236667933975</c:v>
                </c:pt>
                <c:pt idx="58">
                  <c:v>188.94367027504188</c:v>
                </c:pt>
                <c:pt idx="59">
                  <c:v>189.96139344338252</c:v>
                </c:pt>
                <c:pt idx="60">
                  <c:v>190.97682935485983</c:v>
                </c:pt>
                <c:pt idx="61">
                  <c:v>191.98997111454867</c:v>
                </c:pt>
                <c:pt idx="62">
                  <c:v>193.0008118763034</c:v>
                </c:pt>
                <c:pt idx="63">
                  <c:v>194.00934484289991</c:v>
                </c:pt>
                <c:pt idx="64">
                  <c:v>195.01556326617376</c:v>
                </c:pt>
                <c:pt idx="65">
                  <c:v>196.01946044715589</c:v>
                </c:pt>
                <c:pt idx="66">
                  <c:v>197.02102973620455</c:v>
                </c:pt>
                <c:pt idx="67">
                  <c:v>198.02026453313417</c:v>
                </c:pt>
                <c:pt idx="68">
                  <c:v>199.01715828734092</c:v>
                </c:pt>
                <c:pt idx="69">
                  <c:v>200.01170449792511</c:v>
                </c:pt>
                <c:pt idx="70">
                  <c:v>201.00389671381041</c:v>
                </c:pt>
                <c:pt idx="71">
                  <c:v>201.99372853385955</c:v>
                </c:pt>
                <c:pt idx="72">
                  <c:v>202.98119360698718</c:v>
                </c:pt>
                <c:pt idx="73">
                  <c:v>203.96628563226901</c:v>
                </c:pt>
                <c:pt idx="74">
                  <c:v>204.94899835904829</c:v>
                </c:pt>
                <c:pt idx="75">
                  <c:v>205.92932558703845</c:v>
                </c:pt>
                <c:pt idx="76">
                  <c:v>206.90726116642284</c:v>
                </c:pt>
                <c:pt idx="77">
                  <c:v>207.88279899795134</c:v>
                </c:pt>
                <c:pt idx="78">
                  <c:v>208.85593303303335</c:v>
                </c:pt>
                <c:pt idx="79">
                  <c:v>209.82665727382786</c:v>
                </c:pt>
                <c:pt idx="80">
                  <c:v>210.79496577333029</c:v>
                </c:pt>
                <c:pt idx="81">
                  <c:v>211.76085263545579</c:v>
                </c:pt>
                <c:pt idx="82">
                  <c:v>212.72431201511986</c:v>
                </c:pt>
                <c:pt idx="83">
                  <c:v>213.685338118315</c:v>
                </c:pt>
                <c:pt idx="84">
                  <c:v>214.64392520218499</c:v>
                </c:pt>
                <c:pt idx="85">
                  <c:v>215.6000675750953</c:v>
                </c:pt>
                <c:pt idx="86">
                  <c:v>216.55375959670067</c:v>
                </c:pt>
                <c:pt idx="87">
                  <c:v>217.50499567800927</c:v>
                </c:pt>
                <c:pt idx="88">
                  <c:v>218.45377028144384</c:v>
                </c:pt>
                <c:pt idx="89">
                  <c:v>219.40007792089955</c:v>
                </c:pt>
                <c:pt idx="90">
                  <c:v>220.34391316179858</c:v>
                </c:pt>
                <c:pt idx="91">
                  <c:v>221.28527062114193</c:v>
                </c:pt>
                <c:pt idx="92">
                  <c:v>222.22414496755744</c:v>
                </c:pt>
                <c:pt idx="93">
                  <c:v>223.16053092134524</c:v>
                </c:pt>
                <c:pt idx="94">
                  <c:v>224.09442325451957</c:v>
                </c:pt>
                <c:pt idx="95">
                  <c:v>225.02581679084801</c:v>
                </c:pt>
                <c:pt idx="96">
                  <c:v>225.95470640588687</c:v>
                </c:pt>
                <c:pt idx="97">
                  <c:v>226.8810870270141</c:v>
                </c:pt>
                <c:pt idx="98">
                  <c:v>227.80495363345869</c:v>
                </c:pt>
                <c:pt idx="99">
                  <c:v>228.72630125632722</c:v>
                </c:pt>
                <c:pt idx="100">
                  <c:v>229.64512497862694</c:v>
                </c:pt>
                <c:pt idx="101">
                  <c:v>230.56108570622902</c:v>
                </c:pt>
                <c:pt idx="102">
                  <c:v>231.47384411004731</c:v>
                </c:pt>
                <c:pt idx="103">
                  <c:v>232.38339525837054</c:v>
                </c:pt>
                <c:pt idx="104">
                  <c:v>233.28973428692774</c:v>
                </c:pt>
                <c:pt idx="105">
                  <c:v>234.19285639883503</c:v>
                </c:pt>
                <c:pt idx="106">
                  <c:v>235.09275686453861</c:v>
                </c:pt>
                <c:pt idx="107">
                  <c:v>235.98943102175357</c:v>
                </c:pt>
                <c:pt idx="108">
                  <c:v>236.88287427539862</c:v>
                </c:pt>
                <c:pt idx="109">
                  <c:v>237.77308209752684</c:v>
                </c:pt>
                <c:pt idx="110">
                  <c:v>238.66005002725228</c:v>
                </c:pt>
                <c:pt idx="111">
                  <c:v>239.54377367067272</c:v>
                </c:pt>
                <c:pt idx="112">
                  <c:v>240.4242487007885</c:v>
                </c:pt>
                <c:pt idx="113">
                  <c:v>241.30147085741737</c:v>
                </c:pt>
                <c:pt idx="114">
                  <c:v>242.17543594710509</c:v>
                </c:pt>
                <c:pt idx="115">
                  <c:v>243.04613984303296</c:v>
                </c:pt>
                <c:pt idx="116">
                  <c:v>243.91357848492063</c:v>
                </c:pt>
                <c:pt idx="117">
                  <c:v>244.77774787892562</c:v>
                </c:pt>
                <c:pt idx="118">
                  <c:v>245.63864409753879</c:v>
                </c:pt>
                <c:pt idx="119">
                  <c:v>246.49626327947624</c:v>
                </c:pt>
                <c:pt idx="120">
                  <c:v>247.35060162956731</c:v>
                </c:pt>
                <c:pt idx="121">
                  <c:v>248.20165541863886</c:v>
                </c:pt>
                <c:pt idx="122">
                  <c:v>249.04942098339612</c:v>
                </c:pt>
                <c:pt idx="123">
                  <c:v>249.89389472629941</c:v>
                </c:pt>
                <c:pt idx="124">
                  <c:v>250.73507311543779</c:v>
                </c:pt>
                <c:pt idx="125">
                  <c:v>251.57295268439856</c:v>
                </c:pt>
                <c:pt idx="126">
                  <c:v>252.40753003213374</c:v>
                </c:pt>
                <c:pt idx="127">
                  <c:v>253.23880182282264</c:v>
                </c:pt>
                <c:pt idx="128">
                  <c:v>254.06676478573092</c:v>
                </c:pt>
                <c:pt idx="129">
                  <c:v>254.89141571506653</c:v>
                </c:pt>
                <c:pt idx="130">
                  <c:v>255.71275146983172</c:v>
                </c:pt>
                <c:pt idx="131">
                  <c:v>256.53076897367197</c:v>
                </c:pt>
                <c:pt idx="132">
                  <c:v>257.34546521472163</c:v>
                </c:pt>
                <c:pt idx="133">
                  <c:v>258.15683724544573</c:v>
                </c:pt>
                <c:pt idx="134">
                  <c:v>258.96488218247896</c:v>
                </c:pt>
                <c:pt idx="135">
                  <c:v>259.76959720646124</c:v>
                </c:pt>
                <c:pt idx="136">
                  <c:v>260.57097956186971</c:v>
                </c:pt>
                <c:pt idx="137">
                  <c:v>261.3690265568481</c:v>
                </c:pt>
                <c:pt idx="138">
                  <c:v>262.16373556303228</c:v>
                </c:pt>
                <c:pt idx="139">
                  <c:v>262.95510401537314</c:v>
                </c:pt>
                <c:pt idx="140">
                  <c:v>263.74312941195603</c:v>
                </c:pt>
                <c:pt idx="141">
                  <c:v>264.52780931381744</c:v>
                </c:pt>
                <c:pt idx="142">
                  <c:v>265.30914134475825</c:v>
                </c:pt>
                <c:pt idx="143">
                  <c:v>266.08712319115398</c:v>
                </c:pt>
                <c:pt idx="144">
                  <c:v>266.8617526017627</c:v>
                </c:pt>
                <c:pt idx="145">
                  <c:v>267.6330273875289</c:v>
                </c:pt>
                <c:pt idx="146">
                  <c:v>268.40094542138553</c:v>
                </c:pt>
                <c:pt idx="147">
                  <c:v>269.16550463805214</c:v>
                </c:pt>
                <c:pt idx="148">
                  <c:v>269.92670303383107</c:v>
                </c:pt>
                <c:pt idx="149">
                  <c:v>270.68453866640033</c:v>
                </c:pt>
                <c:pt idx="150">
                  <c:v>271.43900965460369</c:v>
                </c:pt>
                <c:pt idx="151">
                  <c:v>272.19022876862647</c:v>
                </c:pt>
                <c:pt idx="152">
                  <c:v>272.9383088791094</c:v>
                </c:pt>
                <c:pt idx="153">
                  <c:v>273.68324823984415</c:v>
                </c:pt>
                <c:pt idx="154">
                  <c:v>274.42504516012741</c:v>
                </c:pt>
                <c:pt idx="155">
                  <c:v>275.16369800457028</c:v>
                </c:pt>
                <c:pt idx="156">
                  <c:v>275.89920519290393</c:v>
                </c:pt>
                <c:pt idx="157">
                  <c:v>276.63156519978401</c:v>
                </c:pt>
                <c:pt idx="158">
                  <c:v>277.36077655459223</c:v>
                </c:pt>
                <c:pt idx="159">
                  <c:v>278.08683784123599</c:v>
                </c:pt>
                <c:pt idx="160">
                  <c:v>278.80974769794534</c:v>
                </c:pt>
                <c:pt idx="161">
                  <c:v>279.52950481706807</c:v>
                </c:pt>
                <c:pt idx="162">
                  <c:v>280.24610794486267</c:v>
                </c:pt>
                <c:pt idx="163">
                  <c:v>280.95955588128902</c:v>
                </c:pt>
                <c:pt idx="164">
                  <c:v>281.66984747979683</c:v>
                </c:pt>
                <c:pt idx="165">
                  <c:v>282.37698164711236</c:v>
                </c:pt>
                <c:pt idx="166">
                  <c:v>283.0809573430227</c:v>
                </c:pt>
                <c:pt idx="167">
                  <c:v>283.78177358015841</c:v>
                </c:pt>
                <c:pt idx="168">
                  <c:v>284.47942942377364</c:v>
                </c:pt>
                <c:pt idx="169">
                  <c:v>285.17392399152504</c:v>
                </c:pt>
                <c:pt idx="170">
                  <c:v>285.86525645324809</c:v>
                </c:pt>
                <c:pt idx="171">
                  <c:v>286.5534260307316</c:v>
                </c:pt>
                <c:pt idx="172">
                  <c:v>287.23843199749086</c:v>
                </c:pt>
                <c:pt idx="173">
                  <c:v>287.92027367853825</c:v>
                </c:pt>
                <c:pt idx="174">
                  <c:v>288.59895045015264</c:v>
                </c:pt>
                <c:pt idx="175">
                  <c:v>289.2744617396466</c:v>
                </c:pt>
                <c:pt idx="176">
                  <c:v>289.94680702513193</c:v>
                </c:pt>
                <c:pt idx="177">
                  <c:v>290.61598583528371</c:v>
                </c:pt>
                <c:pt idx="178">
                  <c:v>291.28199774910252</c:v>
                </c:pt>
                <c:pt idx="179">
                  <c:v>291.94484239567481</c:v>
                </c:pt>
                <c:pt idx="180">
                  <c:v>292.6045194539318</c:v>
                </c:pt>
                <c:pt idx="181">
                  <c:v>293.26102865240705</c:v>
                </c:pt>
                <c:pt idx="182">
                  <c:v>293.914369768992</c:v>
                </c:pt>
                <c:pt idx="183">
                  <c:v>294.56454263069008</c:v>
                </c:pt>
                <c:pt idx="184">
                  <c:v>295.21154711336965</c:v>
                </c:pt>
                <c:pt idx="185">
                  <c:v>295.85538314151484</c:v>
                </c:pt>
                <c:pt idx="186">
                  <c:v>296.49605068797587</c:v>
                </c:pt>
                <c:pt idx="187">
                  <c:v>297.13354977371688</c:v>
                </c:pt>
                <c:pt idx="188">
                  <c:v>297.76788046756303</c:v>
                </c:pt>
                <c:pt idx="189">
                  <c:v>298.39904288594624</c:v>
                </c:pt>
                <c:pt idx="190">
                  <c:v>299.02703719264929</c:v>
                </c:pt>
                <c:pt idx="191">
                  <c:v>299.6518635985488</c:v>
                </c:pt>
                <c:pt idx="192">
                  <c:v>300.27352236135692</c:v>
                </c:pt>
                <c:pt idx="193">
                  <c:v>300.89201378536171</c:v>
                </c:pt>
                <c:pt idx="194">
                  <c:v>301.50733822116655</c:v>
                </c:pt>
                <c:pt idx="195">
                  <c:v>302.11949606542805</c:v>
                </c:pt>
                <c:pt idx="196">
                  <c:v>302.72848776059277</c:v>
                </c:pt>
                <c:pt idx="197">
                  <c:v>303.33431379463332</c:v>
                </c:pt>
                <c:pt idx="198">
                  <c:v>303.93697470078274</c:v>
                </c:pt>
                <c:pt idx="199">
                  <c:v>304.53647105726822</c:v>
                </c:pt>
                <c:pt idx="200">
                  <c:v>305.13280348704365</c:v>
                </c:pt>
                <c:pt idx="201">
                  <c:v>305.72597265752103</c:v>
                </c:pt>
                <c:pt idx="202">
                  <c:v>306.31597928030112</c:v>
                </c:pt>
                <c:pt idx="203">
                  <c:v>306.90282411090294</c:v>
                </c:pt>
                <c:pt idx="204">
                  <c:v>307.48650794849272</c:v>
                </c:pt>
                <c:pt idx="205">
                  <c:v>308.06703163561127</c:v>
                </c:pt>
                <c:pt idx="206">
                  <c:v>308.64439605790102</c:v>
                </c:pt>
                <c:pt idx="207">
                  <c:v>309.21860214383224</c:v>
                </c:pt>
                <c:pt idx="208">
                  <c:v>309.78965086442804</c:v>
                </c:pt>
                <c:pt idx="209">
                  <c:v>310.35754323298897</c:v>
                </c:pt>
                <c:pt idx="210">
                  <c:v>310.92228030481652</c:v>
                </c:pt>
                <c:pt idx="211">
                  <c:v>311.48386317693632</c:v>
                </c:pt>
                <c:pt idx="212">
                  <c:v>312.04229298782008</c:v>
                </c:pt>
                <c:pt idx="213">
                  <c:v>312.59757091710748</c:v>
                </c:pt>
                <c:pt idx="214">
                  <c:v>313.14969818532671</c:v>
                </c:pt>
                <c:pt idx="215">
                  <c:v>313.69867605361515</c:v>
                </c:pt>
                <c:pt idx="216">
                  <c:v>314.24450582343871</c:v>
                </c:pt>
                <c:pt idx="217">
                  <c:v>314.78718883631115</c:v>
                </c:pt>
                <c:pt idx="218">
                  <c:v>315.32672647351251</c:v>
                </c:pt>
                <c:pt idx="219">
                  <c:v>315.86312015580705</c:v>
                </c:pt>
                <c:pt idx="220">
                  <c:v>316.39637134316121</c:v>
                </c:pt>
                <c:pt idx="221">
                  <c:v>316.92648153446021</c:v>
                </c:pt>
                <c:pt idx="222">
                  <c:v>317.45345226722492</c:v>
                </c:pt>
                <c:pt idx="223">
                  <c:v>317.97728511732799</c:v>
                </c:pt>
                <c:pt idx="224">
                  <c:v>318.49798169870979</c:v>
                </c:pt>
                <c:pt idx="225">
                  <c:v>319.01554366309364</c:v>
                </c:pt>
                <c:pt idx="226">
                  <c:v>319.52997269970103</c:v>
                </c:pt>
                <c:pt idx="227">
                  <c:v>320.04127053496643</c:v>
                </c:pt>
                <c:pt idx="228">
                  <c:v>320.54943893225186</c:v>
                </c:pt>
                <c:pt idx="229">
                  <c:v>321.0544796915608</c:v>
                </c:pt>
                <c:pt idx="230">
                  <c:v>321.55639464925247</c:v>
                </c:pt>
                <c:pt idx="231">
                  <c:v>322.0551856777555</c:v>
                </c:pt>
                <c:pt idx="232">
                  <c:v>322.55085468528142</c:v>
                </c:pt>
                <c:pt idx="233">
                  <c:v>323.04340361553812</c:v>
                </c:pt>
                <c:pt idx="234">
                  <c:v>323.53283444744301</c:v>
                </c:pt>
                <c:pt idx="235">
                  <c:v>324.01914919483619</c:v>
                </c:pt>
                <c:pt idx="236">
                  <c:v>324.50234990619339</c:v>
                </c:pt>
                <c:pt idx="237">
                  <c:v>324.98243866433893</c:v>
                </c:pt>
                <c:pt idx="238">
                  <c:v>325.45941758615862</c:v>
                </c:pt>
                <c:pt idx="239">
                  <c:v>325.93328882231248</c:v>
                </c:pt>
                <c:pt idx="240">
                  <c:v>326.40405455694764</c:v>
                </c:pt>
                <c:pt idx="241">
                  <c:v>326.87171700741112</c:v>
                </c:pt>
                <c:pt idx="242">
                  <c:v>327.33627842396271</c:v>
                </c:pt>
                <c:pt idx="243">
                  <c:v>327.79774108948783</c:v>
                </c:pt>
                <c:pt idx="244">
                  <c:v>328.25610731921057</c:v>
                </c:pt>
                <c:pt idx="245">
                  <c:v>328.71137946040682</c:v>
                </c:pt>
                <c:pt idx="246">
                  <c:v>329.16355989211729</c:v>
                </c:pt>
                <c:pt idx="247">
                  <c:v>329.6126510248609</c:v>
                </c:pt>
                <c:pt idx="248">
                  <c:v>330.05865530034839</c:v>
                </c:pt>
                <c:pt idx="249">
                  <c:v>330.50157519119597</c:v>
                </c:pt>
                <c:pt idx="250">
                  <c:v>330.94141320063886</c:v>
                </c:pt>
                <c:pt idx="251">
                  <c:v>331.37767107766649</c:v>
                </c:pt>
                <c:pt idx="252">
                  <c:v>331.8098508599661</c:v>
                </c:pt>
                <c:pt idx="253">
                  <c:v>332.23795610896696</c:v>
                </c:pt>
                <c:pt idx="254">
                  <c:v>332.66199043044566</c:v>
                </c:pt>
                <c:pt idx="255">
                  <c:v>333.08195747405597</c:v>
                </c:pt>
                <c:pt idx="256">
                  <c:v>333.49786093285991</c:v>
                </c:pt>
                <c:pt idx="257">
                  <c:v>333.90970454285917</c:v>
                </c:pt>
                <c:pt idx="258">
                  <c:v>334.31749208252694</c:v>
                </c:pt>
                <c:pt idx="259">
                  <c:v>334.72122737234071</c:v>
                </c:pt>
                <c:pt idx="260">
                  <c:v>335.12091427431568</c:v>
                </c:pt>
                <c:pt idx="261">
                  <c:v>335.51655669153905</c:v>
                </c:pt>
                <c:pt idx="262">
                  <c:v>335.90815856770456</c:v>
                </c:pt>
                <c:pt idx="263">
                  <c:v>336.29572388664855</c:v>
                </c:pt>
                <c:pt idx="264">
                  <c:v>336.67925667188632</c:v>
                </c:pt>
                <c:pt idx="265">
                  <c:v>337.05876098614965</c:v>
                </c:pt>
                <c:pt idx="266">
                  <c:v>337.43424093092517</c:v>
                </c:pt>
                <c:pt idx="267">
                  <c:v>337.80570064599357</c:v>
                </c:pt>
                <c:pt idx="268">
                  <c:v>338.17314430896977</c:v>
                </c:pt>
                <c:pt idx="269">
                  <c:v>338.53657613484461</c:v>
                </c:pt>
                <c:pt idx="270">
                  <c:v>338.89600037552651</c:v>
                </c:pt>
                <c:pt idx="271">
                  <c:v>339.25142131938537</c:v>
                </c:pt>
                <c:pt idx="272">
                  <c:v>339.60284329079678</c:v>
                </c:pt>
                <c:pt idx="273">
                  <c:v>339.95027064968764</c:v>
                </c:pt>
                <c:pt idx="274">
                  <c:v>340.29370779108297</c:v>
                </c:pt>
                <c:pt idx="275">
                  <c:v>340.63315914465403</c:v>
                </c:pt>
                <c:pt idx="276">
                  <c:v>340.96862917426699</c:v>
                </c:pt>
                <c:pt idx="277">
                  <c:v>341.30012237753385</c:v>
                </c:pt>
                <c:pt idx="278">
                  <c:v>341.62764328536389</c:v>
                </c:pt>
                <c:pt idx="279">
                  <c:v>341.95119646151659</c:v>
                </c:pt>
                <c:pt idx="280">
                  <c:v>342.27078650215623</c:v>
                </c:pt>
                <c:pt idx="281">
                  <c:v>342.58641803540723</c:v>
                </c:pt>
                <c:pt idx="282">
                  <c:v>342.89809572091121</c:v>
                </c:pt>
                <c:pt idx="283">
                  <c:v>343.20582424938578</c:v>
                </c:pt>
                <c:pt idx="284">
                  <c:v>343.50960834218409</c:v>
                </c:pt>
                <c:pt idx="285">
                  <c:v>343.80945275085634</c:v>
                </c:pt>
                <c:pt idx="286">
                  <c:v>344.10536225671262</c:v>
                </c:pt>
                <c:pt idx="287">
                  <c:v>344.39734167038699</c:v>
                </c:pt>
                <c:pt idx="288">
                  <c:v>344.68539583140381</c:v>
                </c:pt>
                <c:pt idx="289">
                  <c:v>344.96952960774473</c:v>
                </c:pt>
                <c:pt idx="290">
                  <c:v>345.24974789541784</c:v>
                </c:pt>
                <c:pt idx="291">
                  <c:v>345.52605561802829</c:v>
                </c:pt>
                <c:pt idx="292">
                  <c:v>345.79845772635048</c:v>
                </c:pt>
                <c:pt idx="293">
                  <c:v>346.06695919790201</c:v>
                </c:pt>
                <c:pt idx="294">
                  <c:v>346.33156503651873</c:v>
                </c:pt>
                <c:pt idx="295">
                  <c:v>346.59228027193268</c:v>
                </c:pt>
                <c:pt idx="296">
                  <c:v>346.84910995935041</c:v>
                </c:pt>
                <c:pt idx="297">
                  <c:v>347.10205917903386</c:v>
                </c:pt>
                <c:pt idx="298">
                  <c:v>347.3456096427916</c:v>
                </c:pt>
                <c:pt idx="299">
                  <c:v>347.57424846177304</c:v>
                </c:pt>
                <c:pt idx="300">
                  <c:v>347.78799570398684</c:v>
                </c:pt>
                <c:pt idx="301">
                  <c:v>347.98687176808181</c:v>
                </c:pt>
                <c:pt idx="302">
                  <c:v>348.1708973777715</c:v>
                </c:pt>
                <c:pt idx="303">
                  <c:v>348.34009357626832</c:v>
                </c:pt>
                <c:pt idx="304">
                  <c:v>348.49448172072834</c:v>
                </c:pt>
                <c:pt idx="305">
                  <c:v>348.63408347670804</c:v>
                </c:pt>
                <c:pt idx="306">
                  <c:v>348.75892081263396</c:v>
                </c:pt>
                <c:pt idx="307">
                  <c:v>348.86901599428569</c:v>
                </c:pt>
                <c:pt idx="308">
                  <c:v>348.96439157929376</c:v>
                </c:pt>
                <c:pt idx="309">
                  <c:v>349.04507041165311</c:v>
                </c:pt>
                <c:pt idx="310">
                  <c:v>349.11107561625289</c:v>
                </c:pt>
                <c:pt idx="311">
                  <c:v>349.16243059342412</c:v>
                </c:pt>
                <c:pt idx="312">
                  <c:v>349.19915901350493</c:v>
                </c:pt>
                <c:pt idx="313">
                  <c:v>349.22128481142522</c:v>
                </c:pt>
                <c:pt idx="314">
                  <c:v>349.22883218131165</c:v>
                </c:pt>
                <c:pt idx="315">
                  <c:v>349.22182557111262</c:v>
                </c:pt>
                <c:pt idx="316">
                  <c:v>349.20028967724562</c:v>
                </c:pt>
                <c:pt idx="317">
                  <c:v>349.16424943926603</c:v>
                </c:pt>
                <c:pt idx="318">
                  <c:v>349.11373003455998</c:v>
                </c:pt>
                <c:pt idx="319">
                  <c:v>349.04875687306014</c:v>
                </c:pt>
                <c:pt idx="320">
                  <c:v>348.96935559198664</c:v>
                </c:pt>
                <c:pt idx="321">
                  <c:v>348.87775204735834</c:v>
                </c:pt>
                <c:pt idx="322">
                  <c:v>348.77616864847073</c:v>
                </c:pt>
                <c:pt idx="323">
                  <c:v>348.66462344431142</c:v>
                </c:pt>
                <c:pt idx="324">
                  <c:v>348.54313456315145</c:v>
                </c:pt>
                <c:pt idx="325">
                  <c:v>348.41172021015933</c:v>
                </c:pt>
                <c:pt idx="326">
                  <c:v>348.2703986650306</c:v>
                </c:pt>
                <c:pt idx="327">
                  <c:v>348.11918827963422</c:v>
                </c:pt>
                <c:pt idx="328">
                  <c:v>347.95810747567555</c:v>
                </c:pt>
                <c:pt idx="329">
                  <c:v>347.78717474237578</c:v>
                </c:pt>
                <c:pt idx="330">
                  <c:v>347.60640863416836</c:v>
                </c:pt>
                <c:pt idx="331">
                  <c:v>347.41582776841221</c:v>
                </c:pt>
                <c:pt idx="332">
                  <c:v>347.21545082312235</c:v>
                </c:pt>
                <c:pt idx="333">
                  <c:v>347.0052965347171</c:v>
                </c:pt>
                <c:pt idx="334">
                  <c:v>346.78538369578291</c:v>
                </c:pt>
                <c:pt idx="335">
                  <c:v>346.55573115285665</c:v>
                </c:pt>
                <c:pt idx="336">
                  <c:v>346.31635780422488</c:v>
                </c:pt>
                <c:pt idx="337">
                  <c:v>346.06728259774138</c:v>
                </c:pt>
                <c:pt idx="338">
                  <c:v>345.80852452866134</c:v>
                </c:pt>
                <c:pt idx="339">
                  <c:v>345.5401026374941</c:v>
                </c:pt>
                <c:pt idx="340">
                  <c:v>345.26203600787323</c:v>
                </c:pt>
                <c:pt idx="341">
                  <c:v>344.97434376444443</c:v>
                </c:pt>
                <c:pt idx="342">
                  <c:v>344.67704507077133</c:v>
                </c:pt>
                <c:pt idx="343">
                  <c:v>344.37015912725934</c:v>
                </c:pt>
                <c:pt idx="344">
                  <c:v>344.05370516909767</c:v>
                </c:pt>
                <c:pt idx="345">
                  <c:v>343.72770246421874</c:v>
                </c:pt>
                <c:pt idx="346">
                  <c:v>343.39217031127612</c:v>
                </c:pt>
                <c:pt idx="347">
                  <c:v>343.04712803764085</c:v>
                </c:pt>
                <c:pt idx="348">
                  <c:v>342.69283243840982</c:v>
                </c:pt>
                <c:pt idx="349">
                  <c:v>342.32953982251627</c:v>
                </c:pt>
                <c:pt idx="350">
                  <c:v>341.95726854091424</c:v>
                </c:pt>
                <c:pt idx="351">
                  <c:v>341.57603695838617</c:v>
                </c:pt>
                <c:pt idx="352">
                  <c:v>341.18586345184451</c:v>
                </c:pt>
                <c:pt idx="353">
                  <c:v>340.78676640865052</c:v>
                </c:pt>
                <c:pt idx="354">
                  <c:v>340.37876422494861</c:v>
                </c:pt>
                <c:pt idx="355">
                  <c:v>339.96187530401841</c:v>
                </c:pt>
                <c:pt idx="356">
                  <c:v>339.53611805464226</c:v>
                </c:pt>
                <c:pt idx="357">
                  <c:v>339.10151088948959</c:v>
                </c:pt>
                <c:pt idx="358">
                  <c:v>338.65807222351776</c:v>
                </c:pt>
                <c:pt idx="359">
                  <c:v>338.20582047238935</c:v>
                </c:pt>
                <c:pt idx="360">
                  <c:v>337.74971240283145</c:v>
                </c:pt>
                <c:pt idx="361">
                  <c:v>337.29469331842955</c:v>
                </c:pt>
                <c:pt idx="362">
                  <c:v>336.84075876041209</c:v>
                </c:pt>
                <c:pt idx="363">
                  <c:v>336.38790429455997</c:v>
                </c:pt>
                <c:pt idx="364">
                  <c:v>335.93612551103672</c:v>
                </c:pt>
                <c:pt idx="365">
                  <c:v>335.48541802421937</c:v>
                </c:pt>
                <c:pt idx="366">
                  <c:v>335.03577747253115</c:v>
                </c:pt>
                <c:pt idx="367">
                  <c:v>334.58719951827516</c:v>
                </c:pt>
                <c:pt idx="368">
                  <c:v>334.13967984747012</c:v>
                </c:pt>
                <c:pt idx="369">
                  <c:v>333.69321416968648</c:v>
                </c:pt>
                <c:pt idx="370">
                  <c:v>333.24779821788502</c:v>
                </c:pt>
                <c:pt idx="371">
                  <c:v>332.8034277482559</c:v>
                </c:pt>
                <c:pt idx="372">
                  <c:v>332.36009854005943</c:v>
                </c:pt>
                <c:pt idx="373">
                  <c:v>331.91780639546812</c:v>
                </c:pt>
                <c:pt idx="374">
                  <c:v>331.47654713941006</c:v>
                </c:pt>
                <c:pt idx="375">
                  <c:v>331.03631661941336</c:v>
                </c:pt>
                <c:pt idx="376">
                  <c:v>330.59711070545239</c:v>
                </c:pt>
                <c:pt idx="377">
                  <c:v>330.15892528979458</c:v>
                </c:pt>
                <c:pt idx="378">
                  <c:v>329.72175628684903</c:v>
                </c:pt>
                <c:pt idx="379">
                  <c:v>329.28559963301615</c:v>
                </c:pt>
                <c:pt idx="380">
                  <c:v>328.85045128653854</c:v>
                </c:pt>
                <c:pt idx="381">
                  <c:v>328.41630722735312</c:v>
                </c:pt>
                <c:pt idx="382">
                  <c:v>327.98316345694445</c:v>
                </c:pt>
                <c:pt idx="383">
                  <c:v>327.5510159981992</c:v>
                </c:pt>
                <c:pt idx="384">
                  <c:v>327.11986089526187</c:v>
                </c:pt>
                <c:pt idx="385">
                  <c:v>326.6896942133917</c:v>
                </c:pt>
                <c:pt idx="386">
                  <c:v>326.26051203882054</c:v>
                </c:pt>
                <c:pt idx="387">
                  <c:v>325.83231047861238</c:v>
                </c:pt>
                <c:pt idx="388">
                  <c:v>325.4050856605233</c:v>
                </c:pt>
                <c:pt idx="389">
                  <c:v>324.97883373286305</c:v>
                </c:pt>
                <c:pt idx="390">
                  <c:v>324.55355086435776</c:v>
                </c:pt>
                <c:pt idx="391">
                  <c:v>324.12923324401339</c:v>
                </c:pt>
                <c:pt idx="392">
                  <c:v>323.7058770809806</c:v>
                </c:pt>
                <c:pt idx="393">
                  <c:v>323.28347860442085</c:v>
                </c:pt>
                <c:pt idx="394">
                  <c:v>322.86203406337273</c:v>
                </c:pt>
                <c:pt idx="395">
                  <c:v>322.44153972662059</c:v>
                </c:pt>
                <c:pt idx="396">
                  <c:v>322.02199188256327</c:v>
                </c:pt>
                <c:pt idx="397">
                  <c:v>321.60338683908435</c:v>
                </c:pt>
                <c:pt idx="398">
                  <c:v>321.1857209234231</c:v>
                </c:pt>
                <c:pt idx="399">
                  <c:v>320.76899048204695</c:v>
                </c:pt>
                <c:pt idx="400">
                  <c:v>320.35319188052426</c:v>
                </c:pt>
                <c:pt idx="401">
                  <c:v>316.20452192618399</c:v>
                </c:pt>
                <c:pt idx="402">
                  <c:v>312.14753119803731</c:v>
                </c:pt>
                <c:pt idx="403">
                  <c:v>308.17873207817934</c:v>
                </c:pt>
                <c:pt idx="404">
                  <c:v>304.29481352122775</c:v>
                </c:pt>
                <c:pt idx="405">
                  <c:v>300.49262990374081</c:v>
                </c:pt>
                <c:pt idx="406">
                  <c:v>296.76919071385117</c:v>
                </c:pt>
                <c:pt idx="407">
                  <c:v>293.1216510078159</c:v>
                </c:pt>
                <c:pt idx="408">
                  <c:v>289.54730256742857</c:v>
                </c:pt>
                <c:pt idx="409">
                  <c:v>286.04356569868708</c:v>
                </c:pt>
                <c:pt idx="410">
                  <c:v>282.60798161785567</c:v>
                </c:pt>
                <c:pt idx="411">
                  <c:v>279.2382053761894</c:v>
                </c:pt>
                <c:pt idx="412">
                  <c:v>275.93199927917101</c:v>
                </c:pt>
                <c:pt idx="413">
                  <c:v>272.68722676021622</c:v>
                </c:pt>
                <c:pt idx="414">
                  <c:v>269.50184667247731</c:v>
                </c:pt>
                <c:pt idx="415">
                  <c:v>266.3739079656799</c:v>
                </c:pt>
                <c:pt idx="416">
                  <c:v>263.30154471789143</c:v>
                </c:pt>
                <c:pt idx="417">
                  <c:v>260.28297149479141</c:v>
                </c:pt>
                <c:pt idx="418">
                  <c:v>257.31647901141827</c:v>
                </c:pt>
                <c:pt idx="419">
                  <c:v>254.40043007353825</c:v>
                </c:pt>
                <c:pt idx="420">
                  <c:v>251.53325577774112</c:v>
                </c:pt>
                <c:pt idx="421">
                  <c:v>248.713451951141</c:v>
                </c:pt>
                <c:pt idx="422">
                  <c:v>245.93957581316459</c:v>
                </c:pt>
                <c:pt idx="423">
                  <c:v>243.21024284336323</c:v>
                </c:pt>
                <c:pt idx="424">
                  <c:v>240.52412384050515</c:v>
                </c:pt>
                <c:pt idx="425">
                  <c:v>237.87994215940282</c:v>
                </c:pt>
                <c:pt idx="426">
                  <c:v>235.27647111301934</c:v>
                </c:pt>
                <c:pt idx="427">
                  <c:v>232.71253152839066</c:v>
                </c:pt>
                <c:pt idx="428">
                  <c:v>230.18698944580285</c:v>
                </c:pt>
                <c:pt idx="429">
                  <c:v>227.69875395148892</c:v>
                </c:pt>
                <c:pt idx="430">
                  <c:v>225.2467751348608</c:v>
                </c:pt>
                <c:pt idx="431">
                  <c:v>222.83004216198046</c:v>
                </c:pt>
                <c:pt idx="432">
                  <c:v>220.44758145760167</c:v>
                </c:pt>
                <c:pt idx="433">
                  <c:v>218.09845498869046</c:v>
                </c:pt>
                <c:pt idx="434">
                  <c:v>215.78175864285856</c:v>
                </c:pt>
                <c:pt idx="435">
                  <c:v>213.496620695628</c:v>
                </c:pt>
                <c:pt idx="436">
                  <c:v>211.24220036088855</c:v>
                </c:pt>
                <c:pt idx="437">
                  <c:v>209.01768641931744</c:v>
                </c:pt>
                <c:pt idx="438">
                  <c:v>206.82229591990489</c:v>
                </c:pt>
                <c:pt idx="439">
                  <c:v>204.65527295007413</c:v>
                </c:pt>
                <c:pt idx="440">
                  <c:v>202.51588747020222</c:v>
                </c:pt>
                <c:pt idx="441">
                  <c:v>200.40343420863891</c:v>
                </c:pt>
                <c:pt idx="442">
                  <c:v>198.31723161359287</c:v>
                </c:pt>
                <c:pt idx="443">
                  <c:v>196.25662085850115</c:v>
                </c:pt>
                <c:pt idx="444">
                  <c:v>194.22096489772903</c:v>
                </c:pt>
                <c:pt idx="445">
                  <c:v>192.20964756965927</c:v>
                </c:pt>
                <c:pt idx="446">
                  <c:v>190.22207274442675</c:v>
                </c:pt>
                <c:pt idx="447">
                  <c:v>188.25766351373548</c:v>
                </c:pt>
                <c:pt idx="448">
                  <c:v>186.31586142036417</c:v>
                </c:pt>
                <c:pt idx="449">
                  <c:v>184.39612572512266</c:v>
                </c:pt>
                <c:pt idx="450">
                  <c:v>182.49793270916558</c:v>
                </c:pt>
                <c:pt idx="451">
                  <c:v>180.62077500970463</c:v>
                </c:pt>
                <c:pt idx="452">
                  <c:v>178.76416098728586</c:v>
                </c:pt>
                <c:pt idx="453">
                  <c:v>176.92761412291313</c:v>
                </c:pt>
                <c:pt idx="454">
                  <c:v>175.11067244340839</c:v>
                </c:pt>
                <c:pt idx="455">
                  <c:v>173.31288797349831</c:v>
                </c:pt>
                <c:pt idx="456">
                  <c:v>171.53382621321163</c:v>
                </c:pt>
                <c:pt idx="457">
                  <c:v>169.77306563925683</c:v>
                </c:pt>
                <c:pt idx="458">
                  <c:v>168.03019722913311</c:v>
                </c:pt>
                <c:pt idx="459">
                  <c:v>166.30482400680162</c:v>
                </c:pt>
                <c:pt idx="460">
                  <c:v>164.59656060881517</c:v>
                </c:pt>
                <c:pt idx="461">
                  <c:v>162.90503286987104</c:v>
                </c:pt>
                <c:pt idx="462">
                  <c:v>161.22987742681292</c:v>
                </c:pt>
                <c:pt idx="463">
                  <c:v>159.57074134016528</c:v>
                </c:pt>
                <c:pt idx="464">
                  <c:v>157.92728173233857</c:v>
                </c:pt>
                <c:pt idx="465">
                  <c:v>156.29916544169322</c:v>
                </c:pt>
                <c:pt idx="466">
                  <c:v>154.68606869169852</c:v>
                </c:pt>
                <c:pt idx="467">
                  <c:v>153.08767677446667</c:v>
                </c:pt>
                <c:pt idx="468">
                  <c:v>151.50368374798381</c:v>
                </c:pt>
                <c:pt idx="469">
                  <c:v>149.9337921463999</c:v>
                </c:pt>
                <c:pt idx="470">
                  <c:v>148.37771270277489</c:v>
                </c:pt>
                <c:pt idx="471">
                  <c:v>146.83516408371483</c:v>
                </c:pt>
                <c:pt idx="472">
                  <c:v>145.30587263536256</c:v>
                </c:pt>
                <c:pt idx="473">
                  <c:v>143.78957214023998</c:v>
                </c:pt>
                <c:pt idx="474">
                  <c:v>142.2860035844669</c:v>
                </c:pt>
                <c:pt idx="475">
                  <c:v>140.79491493490897</c:v>
                </c:pt>
                <c:pt idx="476">
                  <c:v>139.31606092583363</c:v>
                </c:pt>
                <c:pt idx="477">
                  <c:v>137.84920285467717</c:v>
                </c:pt>
                <c:pt idx="478">
                  <c:v>136.39410838654888</c:v>
                </c:pt>
                <c:pt idx="479">
                  <c:v>134.95055136712097</c:v>
                </c:pt>
                <c:pt idx="480">
                  <c:v>133.51831164357367</c:v>
                </c:pt>
                <c:pt idx="481">
                  <c:v>132.09717489328401</c:v>
                </c:pt>
                <c:pt idx="482">
                  <c:v>130.68693245996712</c:v>
                </c:pt>
                <c:pt idx="483">
                  <c:v>129.28738119699591</c:v>
                </c:pt>
                <c:pt idx="484">
                  <c:v>127.89832331764271</c:v>
                </c:pt>
                <c:pt idx="485">
                  <c:v>126.51956625200273</c:v>
                </c:pt>
                <c:pt idx="486">
                  <c:v>125.15092251037584</c:v>
                </c:pt>
                <c:pt idx="487">
                  <c:v>123.79220955289729</c:v>
                </c:pt>
                <c:pt idx="488">
                  <c:v>122.44324966522396</c:v>
                </c:pt>
                <c:pt idx="489">
                  <c:v>121.10386984009622</c:v>
                </c:pt>
                <c:pt idx="490">
                  <c:v>119.77390166460962</c:v>
                </c:pt>
                <c:pt idx="491">
                  <c:v>118.45318121304403</c:v>
                </c:pt>
                <c:pt idx="492">
                  <c:v>117.14154894511131</c:v>
                </c:pt>
                <c:pt idx="493">
                  <c:v>115.83884960949479</c:v>
                </c:pt>
                <c:pt idx="494">
                  <c:v>114.54493215256744</c:v>
                </c:pt>
                <c:pt idx="495">
                  <c:v>113.25964963218718</c:v>
                </c:pt>
                <c:pt idx="496">
                  <c:v>111.982859136481</c:v>
                </c:pt>
                <c:pt idx="497">
                  <c:v>110.71442170754105</c:v>
                </c:pt>
                <c:pt idx="498">
                  <c:v>109.4542022699692</c:v>
                </c:pt>
                <c:pt idx="499">
                  <c:v>108.20206956421778</c:v>
                </c:pt>
                <c:pt idx="500">
                  <c:v>106.95789608468748</c:v>
                </c:pt>
                <c:pt idx="501">
                  <c:v>105.72155802255583</c:v>
                </c:pt>
                <c:pt idx="502">
                  <c:v>104.49293521332214</c:v>
                </c:pt>
                <c:pt idx="503">
                  <c:v>103.27191108906835</c:v>
                </c:pt>
                <c:pt idx="504">
                  <c:v>102.05837263544811</c:v>
                </c:pt>
                <c:pt idx="505">
                  <c:v>100.85221035343092</c:v>
                </c:pt>
                <c:pt idx="506">
                  <c:v>99.653318225841659</c:v>
                </c:pt>
                <c:pt idx="507">
                  <c:v>98.461593688751336</c:v>
                </c:pt>
                <c:pt idx="508">
                  <c:v>97.27693760778979</c:v>
                </c:pt>
                <c:pt idx="509">
                  <c:v>96.099254259467713</c:v>
                </c:pt>
                <c:pt idx="510">
                  <c:v>94.928451317611859</c:v>
                </c:pt>
                <c:pt idx="511">
                  <c:v>93.764439845035682</c:v>
                </c:pt>
                <c:pt idx="512">
                  <c:v>92.607134290585677</c:v>
                </c:pt>
                <c:pt idx="513">
                  <c:v>91.456452491724662</c:v>
                </c:pt>
                <c:pt idx="514">
                  <c:v>90.312315682833415</c:v>
                </c:pt>
                <c:pt idx="515">
                  <c:v>89.174648509435485</c:v>
                </c:pt>
                <c:pt idx="516">
                  <c:v>88.043379048573001</c:v>
                </c:pt>
                <c:pt idx="517">
                  <c:v>86.918438835588105</c:v>
                </c:pt>
                <c:pt idx="518">
                  <c:v>85.799762897590938</c:v>
                </c:pt>
                <c:pt idx="519">
                  <c:v>84.687289793925558</c:v>
                </c:pt>
                <c:pt idx="520">
                  <c:v>83.5809616639757</c:v>
                </c:pt>
                <c:pt idx="521">
                  <c:v>82.480724282687262</c:v>
                </c:pt>
                <c:pt idx="522">
                  <c:v>81.38652712421991</c:v>
                </c:pt>
                <c:pt idx="523">
                  <c:v>80.298323434180361</c:v>
                </c:pt>
                <c:pt idx="524">
                  <c:v>79.216070310931514</c:v>
                </c:pt>
                <c:pt idx="525">
                  <c:v>78.1397287965179</c:v>
                </c:pt>
                <c:pt idx="526">
                  <c:v>77.069263977796709</c:v>
                </c:pt>
                <c:pt idx="527">
                  <c:v>76.004645098417086</c:v>
                </c:pt>
                <c:pt idx="528">
                  <c:v>74.945845682347809</c:v>
                </c:pt>
                <c:pt idx="529">
                  <c:v>73.892843669715177</c:v>
                </c:pt>
                <c:pt idx="530">
                  <c:v>72.845621565780064</c:v>
                </c:pt>
                <c:pt idx="531">
                  <c:v>71.804166603955068</c:v>
                </c:pt>
                <c:pt idx="532">
                  <c:v>70.768470923840781</c:v>
                </c:pt>
                <c:pt idx="533">
                  <c:v>69.738531765343311</c:v>
                </c:pt>
                <c:pt idx="534">
                  <c:v>68.714351680026581</c:v>
                </c:pt>
                <c:pt idx="535">
                  <c:v>67.695938760948749</c:v>
                </c:pt>
                <c:pt idx="536">
                  <c:v>66.683306892337342</c:v>
                </c:pt>
                <c:pt idx="537">
                  <c:v>65.676476020568558</c:v>
                </c:pt>
                <c:pt idx="538">
                  <c:v>64.675472448036061</c:v>
                </c:pt>
                <c:pt idx="539">
                  <c:v>63.680329151621983</c:v>
                </c:pt>
                <c:pt idx="540">
                  <c:v>62.691086127617531</c:v>
                </c:pt>
                <c:pt idx="541">
                  <c:v>61.707790765084887</c:v>
                </c:pt>
                <c:pt idx="542">
                  <c:v>60.730498249802203</c:v>
                </c:pt>
                <c:pt idx="543">
                  <c:v>59.759272001092228</c:v>
                </c:pt>
                <c:pt idx="544">
                  <c:v>58.794184143999402</c:v>
                </c:pt>
                <c:pt idx="545">
                  <c:v>57.835316019450055</c:v>
                </c:pt>
                <c:pt idx="546">
                  <c:v>56.882758735203154</c:v>
                </c:pt>
                <c:pt idx="547">
                  <c:v>55.936613760573117</c:v>
                </c:pt>
                <c:pt idx="548">
                  <c:v>54.996993568077251</c:v>
                </c:pt>
                <c:pt idx="549">
                  <c:v>54.064022325325162</c:v>
                </c:pt>
                <c:pt idx="550">
                  <c:v>53.137836640619398</c:v>
                </c:pt>
                <c:pt idx="551">
                  <c:v>52.218586365868788</c:v>
                </c:pt>
                <c:pt idx="552">
                  <c:v>51.306435460519282</c:v>
                </c:pt>
                <c:pt idx="553">
                  <c:v>50.401562920269292</c:v>
                </c:pt>
                <c:pt idx="554">
                  <c:v>49.5041637743441</c:v>
                </c:pt>
                <c:pt idx="555">
                  <c:v>48.614450155037233</c:v>
                </c:pt>
                <c:pt idx="556">
                  <c:v>47.732652443065234</c:v>
                </c:pt>
                <c:pt idx="557">
                  <c:v>46.859020491996986</c:v>
                </c:pt>
                <c:pt idx="558">
                  <c:v>45.993824934577894</c:v>
                </c:pt>
                <c:pt idx="559">
                  <c:v>45.137358573131884</c:v>
                </c:pt>
                <c:pt idx="560">
                  <c:v>44.289937855342906</c:v>
                </c:pt>
                <c:pt idx="561">
                  <c:v>43.451904435535447</c:v>
                </c:pt>
                <c:pt idx="562">
                  <c:v>42.623626820023496</c:v>
                </c:pt>
                <c:pt idx="563">
                  <c:v>41.805502093102739</c:v>
                </c:pt>
                <c:pt idx="564">
                  <c:v>40.997957717730976</c:v>
                </c:pt>
                <c:pt idx="565">
                  <c:v>40.20145340177848</c:v>
                </c:pt>
                <c:pt idx="566">
                  <c:v>39.416483016820827</c:v>
                </c:pt>
                <c:pt idx="567">
                  <c:v>38.643576551673057</c:v>
                </c:pt>
                <c:pt idx="568">
                  <c:v>37.883302077101483</c:v>
                </c:pt>
                <c:pt idx="569">
                  <c:v>37.136267691275542</c:v>
                </c:pt>
                <c:pt idx="570">
                  <c:v>36.403123407425525</c:v>
                </c:pt>
                <c:pt idx="571">
                  <c:v>35.684562935765491</c:v>
                </c:pt>
                <c:pt idx="572">
                  <c:v>34.98132530098168</c:v>
                </c:pt>
                <c:pt idx="573">
                  <c:v>34.294196224500816</c:v>
                </c:pt>
                <c:pt idx="574">
                  <c:v>33.624009187465433</c:v>
                </c:pt>
                <c:pt idx="575">
                  <c:v>32.971646076122177</c:v>
                </c:pt>
                <c:pt idx="576">
                  <c:v>32.338037296624798</c:v>
                </c:pt>
                <c:pt idx="577">
                  <c:v>31.72416123175438</c:v>
                </c:pt>
                <c:pt idx="578">
                  <c:v>31.131042898739228</c:v>
                </c:pt>
                <c:pt idx="579">
                  <c:v>30.559751656517946</c:v>
                </c:pt>
                <c:pt idx="580">
                  <c:v>30.011397804088716</c:v>
                </c:pt>
                <c:pt idx="581">
                  <c:v>29.487127911028558</c:v>
                </c:pt>
                <c:pt idx="582">
                  <c:v>28.988118729138467</c:v>
                </c:pt>
                <c:pt idx="583">
                  <c:v>28.515569552921601</c:v>
                </c:pt>
                <c:pt idx="584">
                  <c:v>28.070692928617397</c:v>
                </c:pt>
                <c:pt idx="585">
                  <c:v>27.654703658796862</c:v>
                </c:pt>
                <c:pt idx="586">
                  <c:v>27.268806113275591</c:v>
                </c:pt>
                <c:pt idx="587">
                  <c:v>26.914179937232479</c:v>
                </c:pt>
                <c:pt idx="588">
                  <c:v>26.591964342055679</c:v>
                </c:pt>
                <c:pt idx="589">
                  <c:v>26.303241269481763</c:v>
                </c:pt>
                <c:pt idx="590">
                  <c:v>26.049017828526011</c:v>
                </c:pt>
                <c:pt idx="591">
                  <c:v>25.830208508676577</c:v>
                </c:pt>
                <c:pt idx="592">
                  <c:v>25.64761776123332</c:v>
                </c:pt>
                <c:pt idx="593">
                  <c:v>25.50192360218329</c:v>
                </c:pt>
                <c:pt idx="594">
                  <c:v>25.393662914050392</c:v>
                </c:pt>
                <c:pt idx="595">
                  <c:v>25.323219102659095</c:v>
                </c:pt>
                <c:pt idx="596">
                  <c:v>25.290812693803613</c:v>
                </c:pt>
                <c:pt idx="597">
                  <c:v>25.296495335927407</c:v>
                </c:pt>
                <c:pt idx="598">
                  <c:v>25.340147515505304</c:v>
                </c:pt>
                <c:pt idx="599">
                  <c:v>25.421480104673766</c:v>
                </c:pt>
                <c:pt idx="600">
                  <c:v>25.540039662430441</c:v>
                </c:pt>
                <c:pt idx="601">
                  <c:v>25.695217219662368</c:v>
                </c:pt>
                <c:pt idx="602">
                  <c:v>25.886260111589699</c:v>
                </c:pt>
                <c:pt idx="603">
                  <c:v>26.112286292745598</c:v>
                </c:pt>
                <c:pt idx="604">
                  <c:v>26.372300488040235</c:v>
                </c:pt>
                <c:pt idx="605">
                  <c:v>26.665211501584324</c:v>
                </c:pt>
                <c:pt idx="606">
                  <c:v>26.989850019966145</c:v>
                </c:pt>
                <c:pt idx="607">
                  <c:v>27.344986301270051</c:v>
                </c:pt>
                <c:pt idx="608">
                  <c:v>27.729347225089569</c:v>
                </c:pt>
                <c:pt idx="609">
                  <c:v>28.141632280785814</c:v>
                </c:pt>
                <c:pt idx="610">
                  <c:v>28.58052818036143</c:v>
                </c:pt>
                <c:pt idx="611">
                  <c:v>29.044721889234683</c:v>
                </c:pt>
                <c:pt idx="612">
                  <c:v>29.532911965830102</c:v>
                </c:pt>
                <c:pt idx="613">
                  <c:v>30.043818184626694</c:v>
                </c:pt>
                <c:pt idx="614">
                  <c:v>30.576189484790092</c:v>
                </c:pt>
                <c:pt idx="615">
                  <c:v>31.128810337332318</c:v>
                </c:pt>
                <c:pt idx="616">
                  <c:v>31.700505658869901</c:v>
                </c:pt>
                <c:pt idx="617">
                  <c:v>32.290144421372986</c:v>
                </c:pt>
                <c:pt idx="618">
                  <c:v>32.896642117165747</c:v>
                </c:pt>
                <c:pt idx="619">
                  <c:v>33.518962239326029</c:v>
                </c:pt>
                <c:pt idx="620">
                  <c:v>34.1561169318935</c:v>
                </c:pt>
                <c:pt idx="621">
                  <c:v>34.807166954014825</c:v>
                </c:pt>
                <c:pt idx="622">
                  <c:v>35.471221089074774</c:v>
                </c:pt>
                <c:pt idx="623">
                  <c:v>36.147435115368012</c:v>
                </c:pt>
                <c:pt idx="624">
                  <c:v>36.835010440002243</c:v>
                </c:pt>
                <c:pt idx="625">
                  <c:v>37.533192483236618</c:v>
                </c:pt>
                <c:pt idx="626">
                  <c:v>38.241268886847827</c:v>
                </c:pt>
                <c:pt idx="627">
                  <c:v>38.95856760768131</c:v>
                </c:pt>
                <c:pt idx="628">
                  <c:v>39.684454946437064</c:v>
                </c:pt>
                <c:pt idx="629">
                  <c:v>40.418333552001521</c:v>
                </c:pt>
                <c:pt idx="630">
                  <c:v>41.159640433234813</c:v>
                </c:pt>
                <c:pt idx="631">
                  <c:v>41.907845002976039</c:v>
                </c:pt>
                <c:pt idx="632">
                  <c:v>42.662447173027232</c:v>
                </c:pt>
                <c:pt idx="633">
                  <c:v>43.422975513898002</c:v>
                </c:pt>
                <c:pt idx="634">
                  <c:v>44.188985489009426</c:v>
                </c:pt>
                <c:pt idx="635">
                  <c:v>44.960057769747166</c:v>
                </c:pt>
                <c:pt idx="636">
                  <c:v>45.735796635105203</c:v>
                </c:pt>
                <c:pt idx="637">
                  <c:v>46.515828457569164</c:v>
                </c:pt>
                <c:pt idx="638">
                  <c:v>47.299800275260338</c:v>
                </c:pt>
                <c:pt idx="639">
                  <c:v>48.087378449117715</c:v>
                </c:pt>
                <c:pt idx="640">
                  <c:v>48.878247402965506</c:v>
                </c:pt>
                <c:pt idx="641">
                  <c:v>49.672108443639324</c:v>
                </c:pt>
                <c:pt idx="642">
                  <c:v>50.468678657875117</c:v>
                </c:pt>
                <c:pt idx="643">
                  <c:v>51.267689882359228</c:v>
                </c:pt>
                <c:pt idx="644">
                  <c:v>52.068887743161518</c:v>
                </c:pt>
                <c:pt idx="645">
                  <c:v>52.872030760696738</c:v>
                </c:pt>
                <c:pt idx="646">
                  <c:v>53.676889516360369</c:v>
                </c:pt>
                <c:pt idx="647">
                  <c:v>54.483245877043892</c:v>
                </c:pt>
                <c:pt idx="648">
                  <c:v>55.29089227383573</c:v>
                </c:pt>
                <c:pt idx="649">
                  <c:v>56.099631031347158</c:v>
                </c:pt>
                <c:pt idx="650">
                  <c:v>56.909273744254691</c:v>
                </c:pt>
                <c:pt idx="651">
                  <c:v>57.719640697817958</c:v>
                </c:pt>
                <c:pt idx="652">
                  <c:v>58.530560329305359</c:v>
                </c:pt>
                <c:pt idx="653">
                  <c:v>59.341868727436754</c:v>
                </c:pt>
                <c:pt idx="654">
                  <c:v>60.153409167128416</c:v>
                </c:pt>
                <c:pt idx="655">
                  <c:v>60.965031676998109</c:v>
                </c:pt>
                <c:pt idx="656">
                  <c:v>61.776592637255959</c:v>
                </c:pt>
                <c:pt idx="657">
                  <c:v>62.587954405767682</c:v>
                </c:pt>
                <c:pt idx="658">
                  <c:v>63.398984970230551</c:v>
                </c:pt>
                <c:pt idx="659">
                  <c:v>64.209557624548296</c:v>
                </c:pt>
                <c:pt idx="660">
                  <c:v>65.01955066762882</c:v>
                </c:pt>
                <c:pt idx="661">
                  <c:v>65.828847122958123</c:v>
                </c:pt>
                <c:pt idx="662">
                  <c:v>66.637334477424616</c:v>
                </c:pt>
                <c:pt idx="663">
                  <c:v>67.44490443798199</c:v>
                </c:pt>
                <c:pt idx="664">
                  <c:v>68.251452704843572</c:v>
                </c:pt>
                <c:pt idx="665">
                  <c:v>69.056878759999776</c:v>
                </c:pt>
                <c:pt idx="666">
                  <c:v>69.861085669941104</c:v>
                </c:pt>
                <c:pt idx="667">
                  <c:v>70.663979901553901</c:v>
                </c:pt>
                <c:pt idx="668">
                  <c:v>71.465471150233824</c:v>
                </c:pt>
                <c:pt idx="669">
                  <c:v>72.265472179334836</c:v>
                </c:pt>
                <c:pt idx="670">
                  <c:v>73.063898670138187</c:v>
                </c:pt>
                <c:pt idx="671">
                  <c:v>73.86066908158746</c:v>
                </c:pt>
                <c:pt idx="672">
                  <c:v>74.655704519093078</c:v>
                </c:pt>
                <c:pt idx="673">
                  <c:v>75.448928611762284</c:v>
                </c:pt>
                <c:pt idx="674">
                  <c:v>76.240267397458567</c:v>
                </c:pt>
                <c:pt idx="675">
                  <c:v>77.029649215140168</c:v>
                </c:pt>
                <c:pt idx="676">
                  <c:v>77.817004603967703</c:v>
                </c:pt>
                <c:pt idx="677">
                  <c:v>78.602266208709764</c:v>
                </c:pt>
                <c:pt idx="678">
                  <c:v>79.385368691009532</c:v>
                </c:pt>
                <c:pt idx="679">
                  <c:v>80.166248646108883</c:v>
                </c:pt>
                <c:pt idx="680">
                  <c:v>80.944844524655139</c:v>
                </c:pt>
                <c:pt idx="681">
                  <c:v>81.721096559243961</c:v>
                </c:pt>
                <c:pt idx="682">
                  <c:v>82.494946695376967</c:v>
                </c:pt>
                <c:pt idx="683">
                  <c:v>83.266338526535733</c:v>
                </c:pt>
                <c:pt idx="684">
                  <c:v>84.035217233095992</c:v>
                </c:pt>
                <c:pt idx="685">
                  <c:v>84.801529524825355</c:v>
                </c:pt>
                <c:pt idx="686">
                  <c:v>85.565223586726276</c:v>
                </c:pt>
                <c:pt idx="687">
                  <c:v>86.326249028003289</c:v>
                </c:pt>
                <c:pt idx="688">
                  <c:v>87.084556833948753</c:v>
                </c:pt>
                <c:pt idx="689">
                  <c:v>87.840099320556277</c:v>
                </c:pt>
                <c:pt idx="690">
                  <c:v>88.592830091684093</c:v>
                </c:pt>
                <c:pt idx="691">
                  <c:v>89.342703998603099</c:v>
                </c:pt>
                <c:pt idx="692">
                  <c:v>90.089677101775962</c:v>
                </c:pt>
                <c:pt idx="693">
                  <c:v>90.833706634723796</c:v>
                </c:pt>
                <c:pt idx="694">
                  <c:v>91.574750969847386</c:v>
                </c:pt>
                <c:pt idx="695">
                  <c:v>92.312769586078304</c:v>
                </c:pt>
                <c:pt idx="696">
                  <c:v>93.047723038244442</c:v>
                </c:pt>
                <c:pt idx="697">
                  <c:v>93.779572928041532</c:v>
                </c:pt>
                <c:pt idx="698">
                  <c:v>94.508281876510111</c:v>
                </c:pt>
                <c:pt idx="699">
                  <c:v>95.233813497923606</c:v>
                </c:pt>
                <c:pt idx="700">
                  <c:v>95.956132374999925</c:v>
                </c:pt>
                <c:pt idx="701">
                  <c:v>96.675204035354028</c:v>
                </c:pt>
                <c:pt idx="702">
                  <c:v>97.390994929115308</c:v>
                </c:pt>
                <c:pt idx="703">
                  <c:v>98.103472407637653</c:v>
                </c:pt>
                <c:pt idx="704">
                  <c:v>98.812604703235152</c:v>
                </c:pt>
                <c:pt idx="705">
                  <c:v>99.518360909880812</c:v>
                </c:pt>
                <c:pt idx="706">
                  <c:v>100.2207109648095</c:v>
                </c:pt>
                <c:pt idx="707">
                  <c:v>100.91962563097009</c:v>
                </c:pt>
                <c:pt idx="708">
                  <c:v>101.61507648027514</c:v>
                </c:pt>
                <c:pt idx="709">
                  <c:v>102.30703587760007</c:v>
                </c:pt>
                <c:pt idx="710">
                  <c:v>102.9954769654865</c:v>
                </c:pt>
                <c:pt idx="711">
                  <c:v>103.68037364950719</c:v>
                </c:pt>
                <c:pt idx="712">
                  <c:v>104.36170058425292</c:v>
                </c:pt>
                <c:pt idx="713">
                  <c:v>105.03943315990398</c:v>
                </c:pt>
                <c:pt idx="714">
                  <c:v>105.71354748935111</c:v>
                </c:pt>
                <c:pt idx="715">
                  <c:v>106.38402039583313</c:v>
                </c:pt>
                <c:pt idx="716">
                  <c:v>107.05082940106024</c:v>
                </c:pt>
                <c:pt idx="717">
                  <c:v>107.71395271379401</c:v>
                </c:pt>
                <c:pt idx="718">
                  <c:v>108.37336921885684</c:v>
                </c:pt>
                <c:pt idx="719">
                  <c:v>109.02905846654521</c:v>
                </c:pt>
                <c:pt idx="720">
                  <c:v>109.68100066242263</c:v>
                </c:pt>
                <c:pt idx="721">
                  <c:v>110.3291766574697</c:v>
                </c:pt>
                <c:pt idx="722">
                  <c:v>110.97356793856976</c:v>
                </c:pt>
                <c:pt idx="723">
                  <c:v>111.61415661931045</c:v>
                </c:pt>
                <c:pt idx="724">
                  <c:v>112.25092543108204</c:v>
                </c:pt>
                <c:pt idx="725">
                  <c:v>112.88385771445481</c:v>
                </c:pt>
                <c:pt idx="726">
                  <c:v>113.51293741081894</c:v>
                </c:pt>
                <c:pt idx="727">
                  <c:v>114.13814905427108</c:v>
                </c:pt>
                <c:pt idx="728">
                  <c:v>114.75947776373273</c:v>
                </c:pt>
                <c:pt idx="729">
                  <c:v>115.37690923528673</c:v>
                </c:pt>
                <c:pt idx="730">
                  <c:v>115.99042973471843</c:v>
                </c:pt>
                <c:pt idx="731">
                  <c:v>116.60002609024957</c:v>
                </c:pt>
                <c:pt idx="732">
                  <c:v>117.20568568545278</c:v>
                </c:pt>
                <c:pt idx="733">
                  <c:v>117.80739645233622</c:v>
                </c:pt>
                <c:pt idx="734">
                  <c:v>118.40514686458762</c:v>
                </c:pt>
                <c:pt idx="735">
                  <c:v>118.99892593096838</c:v>
                </c:pt>
                <c:pt idx="736">
                  <c:v>119.58872318884825</c:v>
                </c:pt>
                <c:pt idx="737">
                  <c:v>120.17452869787226</c:v>
                </c:pt>
                <c:pt idx="738">
                  <c:v>120.75633303375156</c:v>
                </c:pt>
                <c:pt idx="739">
                  <c:v>121.33412728217063</c:v>
                </c:pt>
                <c:pt idx="740">
                  <c:v>121.90790303280379</c:v>
                </c:pt>
                <c:pt idx="741">
                  <c:v>122.47765237343404</c:v>
                </c:pt>
                <c:pt idx="742">
                  <c:v>123.04336788416795</c:v>
                </c:pt>
                <c:pt idx="743">
                  <c:v>123.60504263174066</c:v>
                </c:pt>
                <c:pt idx="744">
                  <c:v>124.16267016390532</c:v>
                </c:pt>
                <c:pt idx="745">
                  <c:v>124.71624450390161</c:v>
                </c:pt>
                <c:pt idx="746">
                  <c:v>125.26576014499855</c:v>
                </c:pt>
                <c:pt idx="747">
                  <c:v>125.81121204510671</c:v>
                </c:pt>
                <c:pt idx="748">
                  <c:v>126.35259562145551</c:v>
                </c:pt>
                <c:pt idx="749">
                  <c:v>126.88990674533153</c:v>
                </c:pt>
                <c:pt idx="750">
                  <c:v>127.42314173687403</c:v>
                </c:pt>
                <c:pt idx="751">
                  <c:v>127.9522973599238</c:v>
                </c:pt>
                <c:pt idx="752">
                  <c:v>128.47737081692216</c:v>
                </c:pt>
                <c:pt idx="753">
                  <c:v>128.99835974385707</c:v>
                </c:pt>
                <c:pt idx="754">
                  <c:v>129.51526220525275</c:v>
                </c:pt>
                <c:pt idx="755">
                  <c:v>130.02807668920087</c:v>
                </c:pt>
                <c:pt idx="756">
                  <c:v>130.53680210243024</c:v>
                </c:pt>
                <c:pt idx="757">
                  <c:v>131.04143776541233</c:v>
                </c:pt>
                <c:pt idx="758">
                  <c:v>131.54198340750099</c:v>
                </c:pt>
                <c:pt idx="759">
                  <c:v>132.03843916210397</c:v>
                </c:pt>
                <c:pt idx="760">
                  <c:v>132.53080556188397</c:v>
                </c:pt>
                <c:pt idx="761">
                  <c:v>133.01908353398784</c:v>
                </c:pt>
                <c:pt idx="762">
                  <c:v>133.50327439530238</c:v>
                </c:pt>
                <c:pt idx="763">
                  <c:v>133.98337984773445</c:v>
                </c:pt>
                <c:pt idx="764">
                  <c:v>134.45940197351479</c:v>
                </c:pt>
                <c:pt idx="765">
                  <c:v>134.93134323052354</c:v>
                </c:pt>
                <c:pt idx="766">
                  <c:v>135.399206447637</c:v>
                </c:pt>
                <c:pt idx="767">
                  <c:v>135.86299482009363</c:v>
                </c:pt>
                <c:pt idx="768">
                  <c:v>136.32271190487913</c:v>
                </c:pt>
                <c:pt idx="769">
                  <c:v>136.77836161612879</c:v>
                </c:pt>
                <c:pt idx="770">
                  <c:v>137.2299482205473</c:v>
                </c:pt>
                <c:pt idx="771">
                  <c:v>137.67747633284444</c:v>
                </c:pt>
                <c:pt idx="772">
                  <c:v>138.12095091118616</c:v>
                </c:pt>
                <c:pt idx="773">
                  <c:v>138.56037725266083</c:v>
                </c:pt>
                <c:pt idx="774">
                  <c:v>138.99576098875957</c:v>
                </c:pt>
                <c:pt idx="775">
                  <c:v>139.42710808087057</c:v>
                </c:pt>
                <c:pt idx="776">
                  <c:v>139.85442481578704</c:v>
                </c:pt>
                <c:pt idx="777">
                  <c:v>140.27771780122794</c:v>
                </c:pt>
                <c:pt idx="778">
                  <c:v>140.6969939613719</c:v>
                </c:pt>
                <c:pt idx="779">
                  <c:v>141.11226053240341</c:v>
                </c:pt>
                <c:pt idx="780">
                  <c:v>141.52352505807181</c:v>
                </c:pt>
                <c:pt idx="781">
                  <c:v>141.93079538526217</c:v>
                </c:pt>
                <c:pt idx="782">
                  <c:v>142.33407965957846</c:v>
                </c:pt>
                <c:pt idx="783">
                  <c:v>142.73338632093908</c:v>
                </c:pt>
                <c:pt idx="784">
                  <c:v>143.1287240991841</c:v>
                </c:pt>
                <c:pt idx="785">
                  <c:v>143.52010200969477</c:v>
                </c:pt>
                <c:pt idx="786">
                  <c:v>143.90752934902534</c:v>
                </c:pt>
                <c:pt idx="787">
                  <c:v>144.291015690547</c:v>
                </c:pt>
                <c:pt idx="788">
                  <c:v>144.67057088010412</c:v>
                </c:pt>
                <c:pt idx="789">
                  <c:v>145.04620503168323</c:v>
                </c:pt>
                <c:pt idx="790">
                  <c:v>145.41792852309439</c:v>
                </c:pt>
                <c:pt idx="791">
                  <c:v>145.78575199166585</c:v>
                </c:pt>
                <c:pt idx="792">
                  <c:v>146.14968632995135</c:v>
                </c:pt>
                <c:pt idx="793">
                  <c:v>146.5097426814512</c:v>
                </c:pt>
                <c:pt idx="794">
                  <c:v>146.86593243634664</c:v>
                </c:pt>
                <c:pt idx="795">
                  <c:v>147.21826722724839</c:v>
                </c:pt>
                <c:pt idx="796">
                  <c:v>147.56675892495903</c:v>
                </c:pt>
                <c:pt idx="797">
                  <c:v>147.91141963425028</c:v>
                </c:pt>
                <c:pt idx="798">
                  <c:v>148.25226168965477</c:v>
                </c:pt>
                <c:pt idx="799">
                  <c:v>148.58929765127328</c:v>
                </c:pt>
                <c:pt idx="800">
                  <c:v>148.92254030059709</c:v>
                </c:pt>
                <c:pt idx="801">
                  <c:v>149.25200263634667</c:v>
                </c:pt>
                <c:pt idx="802">
                  <c:v>149.5776978703264</c:v>
                </c:pt>
                <c:pt idx="803">
                  <c:v>149.89963942329587</c:v>
                </c:pt>
                <c:pt idx="804">
                  <c:v>150.21784092085835</c:v>
                </c:pt>
                <c:pt idx="805">
                  <c:v>150.53231618936647</c:v>
                </c:pt>
                <c:pt idx="806">
                  <c:v>150.84307925184606</c:v>
                </c:pt>
                <c:pt idx="807">
                  <c:v>151.15014432393784</c:v>
                </c:pt>
                <c:pt idx="808">
                  <c:v>151.45352580985806</c:v>
                </c:pt>
                <c:pt idx="809">
                  <c:v>151.75323829837785</c:v>
                </c:pt>
                <c:pt idx="810">
                  <c:v>152.04929655882248</c:v>
                </c:pt>
                <c:pt idx="811">
                  <c:v>152.34171553708995</c:v>
                </c:pt>
                <c:pt idx="812">
                  <c:v>152.63051035169048</c:v>
                </c:pt>
                <c:pt idx="813">
                  <c:v>152.91569628980614</c:v>
                </c:pt>
                <c:pt idx="814">
                  <c:v>153.197288803372</c:v>
                </c:pt>
                <c:pt idx="815">
                  <c:v>153.47530350517874</c:v>
                </c:pt>
                <c:pt idx="816">
                  <c:v>153.749756164997</c:v>
                </c:pt>
                <c:pt idx="817">
                  <c:v>154.0206627057245</c:v>
                </c:pt>
                <c:pt idx="818">
                  <c:v>154.28803919955556</c:v>
                </c:pt>
                <c:pt idx="819">
                  <c:v>154.55190186417414</c:v>
                </c:pt>
                <c:pt idx="820">
                  <c:v>154.81226705897015</c:v>
                </c:pt>
                <c:pt idx="821">
                  <c:v>155.06915128128</c:v>
                </c:pt>
                <c:pt idx="822">
                  <c:v>155.32257116265149</c:v>
                </c:pt>
                <c:pt idx="823">
                  <c:v>155.57254346513332</c:v>
                </c:pt>
                <c:pt idx="824">
                  <c:v>155.81908507759007</c:v>
                </c:pt>
                <c:pt idx="825">
                  <c:v>156.06221301204235</c:v>
                </c:pt>
                <c:pt idx="826">
                  <c:v>156.30194440003308</c:v>
                </c:pt>
                <c:pt idx="827">
                  <c:v>156.53829648902013</c:v>
                </c:pt>
                <c:pt idx="828">
                  <c:v>156.77128663879537</c:v>
                </c:pt>
                <c:pt idx="829">
                  <c:v>157.00093231793082</c:v>
                </c:pt>
                <c:pt idx="830">
                  <c:v>157.22725110025223</c:v>
                </c:pt>
                <c:pt idx="831">
                  <c:v>157.45026066134014</c:v>
                </c:pt>
                <c:pt idx="832">
                  <c:v>157.66997877505901</c:v>
                </c:pt>
                <c:pt idx="833">
                  <c:v>157.88642331011496</c:v>
                </c:pt>
                <c:pt idx="834">
                  <c:v>158.09961222664157</c:v>
                </c:pt>
                <c:pt idx="835">
                  <c:v>158.30956357281511</c:v>
                </c:pt>
                <c:pt idx="836">
                  <c:v>158.5162954814989</c:v>
                </c:pt>
                <c:pt idx="837">
                  <c:v>158.7198261669171</c:v>
                </c:pt>
                <c:pt idx="838">
                  <c:v>158.92017392135838</c:v>
                </c:pt>
                <c:pt idx="839">
                  <c:v>159.11735711190957</c:v>
                </c:pt>
                <c:pt idx="840">
                  <c:v>159.31139417721985</c:v>
                </c:pt>
                <c:pt idx="841">
                  <c:v>159.50230362429545</c:v>
                </c:pt>
                <c:pt idx="842">
                  <c:v>159.69010402532501</c:v>
                </c:pt>
                <c:pt idx="843">
                  <c:v>159.8748140145363</c:v>
                </c:pt>
                <c:pt idx="844">
                  <c:v>160.05645228508405</c:v>
                </c:pt>
                <c:pt idx="845">
                  <c:v>160.23503758596925</c:v>
                </c:pt>
                <c:pt idx="846">
                  <c:v>160.41058871899048</c:v>
                </c:pt>
                <c:pt idx="847">
                  <c:v>160.58312453572663</c:v>
                </c:pt>
                <c:pt idx="848">
                  <c:v>160.75266393455223</c:v>
                </c:pt>
                <c:pt idx="849">
                  <c:v>160.91922585768475</c:v>
                </c:pt>
                <c:pt idx="850">
                  <c:v>161.08282928826435</c:v>
                </c:pt>
                <c:pt idx="851">
                  <c:v>161.2434932474664</c:v>
                </c:pt>
                <c:pt idx="852">
                  <c:v>161.4012367916466</c:v>
                </c:pt>
                <c:pt idx="853">
                  <c:v>161.55607900951898</c:v>
                </c:pt>
                <c:pt idx="854">
                  <c:v>161.70803901936696</c:v>
                </c:pt>
                <c:pt idx="855">
                  <c:v>161.85713596628753</c:v>
                </c:pt>
                <c:pt idx="856">
                  <c:v>162.00338901946861</c:v>
                </c:pt>
                <c:pt idx="857">
                  <c:v>162.14681736949976</c:v>
                </c:pt>
                <c:pt idx="858">
                  <c:v>162.28744022571644</c:v>
                </c:pt>
                <c:pt idx="859">
                  <c:v>162.42527681357748</c:v>
                </c:pt>
                <c:pt idx="860">
                  <c:v>162.56034637207648</c:v>
                </c:pt>
                <c:pt idx="861">
                  <c:v>162.69266815118652</c:v>
                </c:pt>
                <c:pt idx="862">
                  <c:v>162.82226140933872</c:v>
                </c:pt>
                <c:pt idx="863">
                  <c:v>162.94914541093453</c:v>
                </c:pt>
                <c:pt idx="864">
                  <c:v>163.07333942389181</c:v>
                </c:pt>
                <c:pt idx="865">
                  <c:v>163.1948627172244</c:v>
                </c:pt>
                <c:pt idx="866">
                  <c:v>163.31373455865599</c:v>
                </c:pt>
                <c:pt idx="867">
                  <c:v>163.42997421226735</c:v>
                </c:pt>
                <c:pt idx="868">
                  <c:v>163.54360093617746</c:v>
                </c:pt>
                <c:pt idx="869">
                  <c:v>163.65463398025872</c:v>
                </c:pt>
                <c:pt idx="870">
                  <c:v>163.76309258388562</c:v>
                </c:pt>
                <c:pt idx="871">
                  <c:v>163.86899597371709</c:v>
                </c:pt>
                <c:pt idx="872">
                  <c:v>163.97236336151295</c:v>
                </c:pt>
                <c:pt idx="873">
                  <c:v>164.07321394198357</c:v>
                </c:pt>
                <c:pt idx="874">
                  <c:v>164.17156689067349</c:v>
                </c:pt>
                <c:pt idx="875">
                  <c:v>164.26744136187844</c:v>
                </c:pt>
                <c:pt idx="876">
                  <c:v>164.36085648659576</c:v>
                </c:pt>
                <c:pt idx="877">
                  <c:v>164.45183137050839</c:v>
                </c:pt>
                <c:pt idx="878">
                  <c:v>164.54038509200203</c:v>
                </c:pt>
                <c:pt idx="879">
                  <c:v>164.62653670021567</c:v>
                </c:pt>
                <c:pt idx="880">
                  <c:v>164.7103052131252</c:v>
                </c:pt>
                <c:pt idx="881">
                  <c:v>164.79170961565993</c:v>
                </c:pt>
                <c:pt idx="882">
                  <c:v>164.87076885785217</c:v>
                </c:pt>
                <c:pt idx="883">
                  <c:v>164.94750185301953</c:v>
                </c:pt>
                <c:pt idx="884">
                  <c:v>165.02192747598002</c:v>
                </c:pt>
                <c:pt idx="885">
                  <c:v>165.09406456129938</c:v>
                </c:pt>
                <c:pt idx="886">
                  <c:v>165.16393190157106</c:v>
                </c:pt>
                <c:pt idx="887">
                  <c:v>165.23154824572853</c:v>
                </c:pt>
                <c:pt idx="888">
                  <c:v>165.29693229738928</c:v>
                </c:pt>
                <c:pt idx="889">
                  <c:v>165.36010271323124</c:v>
                </c:pt>
                <c:pt idx="890">
                  <c:v>165.42107810140064</c:v>
                </c:pt>
                <c:pt idx="891">
                  <c:v>165.47987701995163</c:v>
                </c:pt>
                <c:pt idx="892">
                  <c:v>165.53651797531714</c:v>
                </c:pt>
                <c:pt idx="893">
                  <c:v>165.59101942081139</c:v>
                </c:pt>
                <c:pt idx="894">
                  <c:v>165.6433997551631</c:v>
                </c:pt>
                <c:pt idx="895">
                  <c:v>165.69367732107955</c:v>
                </c:pt>
                <c:pt idx="896">
                  <c:v>165.7418704038416</c:v>
                </c:pt>
                <c:pt idx="897">
                  <c:v>165.78799722992909</c:v>
                </c:pt>
                <c:pt idx="898">
                  <c:v>165.8320759656763</c:v>
                </c:pt>
                <c:pt idx="899">
                  <c:v>165.87412471595769</c:v>
                </c:pt>
                <c:pt idx="900">
                  <c:v>165.9141615229035</c:v>
                </c:pt>
                <c:pt idx="901">
                  <c:v>165.95220436464481</c:v>
                </c:pt>
                <c:pt idx="902">
                  <c:v>165.98827115408824</c:v>
                </c:pt>
                <c:pt idx="903">
                  <c:v>166.02237973771955</c:v>
                </c:pt>
                <c:pt idx="904">
                  <c:v>166.05454789443635</c:v>
                </c:pt>
                <c:pt idx="905">
                  <c:v>166.08479333440968</c:v>
                </c:pt>
                <c:pt idx="906">
                  <c:v>166.11313369797375</c:v>
                </c:pt>
                <c:pt idx="907">
                  <c:v>166.13958655454408</c:v>
                </c:pt>
                <c:pt idx="908">
                  <c:v>166.16416940156367</c:v>
                </c:pt>
                <c:pt idx="909">
                  <c:v>166.18689966347691</c:v>
                </c:pt>
                <c:pt idx="910">
                  <c:v>166.20779469073085</c:v>
                </c:pt>
                <c:pt idx="911">
                  <c:v>166.22687175880381</c:v>
                </c:pt>
                <c:pt idx="912">
                  <c:v>166.24414806726119</c:v>
                </c:pt>
                <c:pt idx="913">
                  <c:v>166.2596407388375</c:v>
                </c:pt>
                <c:pt idx="914">
                  <c:v>166.27336681854547</c:v>
                </c:pt>
                <c:pt idx="915">
                  <c:v>166.28534327281074</c:v>
                </c:pt>
                <c:pt idx="916">
                  <c:v>166.29558698863309</c:v>
                </c:pt>
                <c:pt idx="917">
                  <c:v>166.30411477277295</c:v>
                </c:pt>
                <c:pt idx="918">
                  <c:v>166.31094335096347</c:v>
                </c:pt>
                <c:pt idx="919">
                  <c:v>166.31608936714764</c:v>
                </c:pt>
                <c:pt idx="920">
                  <c:v>166.31956938274038</c:v>
                </c:pt>
                <c:pt idx="921">
                  <c:v>166.32139987591512</c:v>
                </c:pt>
                <c:pt idx="922">
                  <c:v>166.32159724091483</c:v>
                </c:pt>
                <c:pt idx="923">
                  <c:v>166.32017778738688</c:v>
                </c:pt>
                <c:pt idx="924">
                  <c:v>166.31715773974187</c:v>
                </c:pt>
                <c:pt idx="925">
                  <c:v>166.3125532365359</c:v>
                </c:pt>
                <c:pt idx="926">
                  <c:v>166.30638032987591</c:v>
                </c:pt>
                <c:pt idx="927">
                  <c:v>166.2986549848479</c:v>
                </c:pt>
                <c:pt idx="928">
                  <c:v>166.28939307896829</c:v>
                </c:pt>
                <c:pt idx="929">
                  <c:v>166.27861040165689</c:v>
                </c:pt>
                <c:pt idx="930">
                  <c:v>166.27859810739852</c:v>
                </c:pt>
                <c:pt idx="931">
                  <c:v>166.27858581165194</c:v>
                </c:pt>
                <c:pt idx="932">
                  <c:v>166.27857351441719</c:v>
                </c:pt>
                <c:pt idx="933">
                  <c:v>166.27856121569428</c:v>
                </c:pt>
                <c:pt idx="934">
                  <c:v>166.27854891548321</c:v>
                </c:pt>
                <c:pt idx="935">
                  <c:v>166.27853661378404</c:v>
                </c:pt>
                <c:pt idx="936">
                  <c:v>166.27852431059674</c:v>
                </c:pt>
                <c:pt idx="937">
                  <c:v>166.27851200592136</c:v>
                </c:pt>
                <c:pt idx="938">
                  <c:v>166.2784996997579</c:v>
                </c:pt>
                <c:pt idx="939">
                  <c:v>166.27848739210637</c:v>
                </c:pt>
                <c:pt idx="940">
                  <c:v>166.27847508296679</c:v>
                </c:pt>
                <c:pt idx="941">
                  <c:v>166.27846277233917</c:v>
                </c:pt>
                <c:pt idx="942">
                  <c:v>166.27845046022355</c:v>
                </c:pt>
                <c:pt idx="943">
                  <c:v>166.27843814661989</c:v>
                </c:pt>
                <c:pt idx="944">
                  <c:v>166.2784258315283</c:v>
                </c:pt>
                <c:pt idx="945">
                  <c:v>166.27841351494871</c:v>
                </c:pt>
                <c:pt idx="946">
                  <c:v>166.27840119688113</c:v>
                </c:pt>
                <c:pt idx="947">
                  <c:v>166.27838887732565</c:v>
                </c:pt>
                <c:pt idx="948">
                  <c:v>166.27837655628224</c:v>
                </c:pt>
                <c:pt idx="949">
                  <c:v>166.27836423375092</c:v>
                </c:pt>
                <c:pt idx="950">
                  <c:v>166.2783519097317</c:v>
                </c:pt>
                <c:pt idx="951">
                  <c:v>166.2783395842246</c:v>
                </c:pt>
                <c:pt idx="952">
                  <c:v>166.27832725722965</c:v>
                </c:pt>
                <c:pt idx="953">
                  <c:v>166.27831492874685</c:v>
                </c:pt>
                <c:pt idx="954">
                  <c:v>166.27830259877618</c:v>
                </c:pt>
                <c:pt idx="955">
                  <c:v>166.27829026731774</c:v>
                </c:pt>
                <c:pt idx="956">
                  <c:v>166.27827793437149</c:v>
                </c:pt>
                <c:pt idx="957">
                  <c:v>166.27826559993744</c:v>
                </c:pt>
                <c:pt idx="958">
                  <c:v>166.27825326401563</c:v>
                </c:pt>
                <c:pt idx="959">
                  <c:v>166.27824092660606</c:v>
                </c:pt>
                <c:pt idx="960">
                  <c:v>166.27822858770872</c:v>
                </c:pt>
                <c:pt idx="961">
                  <c:v>166.27821624732371</c:v>
                </c:pt>
                <c:pt idx="962">
                  <c:v>166.27820390545099</c:v>
                </c:pt>
                <c:pt idx="963">
                  <c:v>166.27819156209054</c:v>
                </c:pt>
                <c:pt idx="964">
                  <c:v>166.27817921724244</c:v>
                </c:pt>
                <c:pt idx="965">
                  <c:v>166.27816687090666</c:v>
                </c:pt>
                <c:pt idx="966">
                  <c:v>166.27815452308323</c:v>
                </c:pt>
                <c:pt idx="967">
                  <c:v>166.27814217377218</c:v>
                </c:pt>
                <c:pt idx="968">
                  <c:v>166.27812982297348</c:v>
                </c:pt>
                <c:pt idx="969">
                  <c:v>166.27811747068722</c:v>
                </c:pt>
                <c:pt idx="970">
                  <c:v>166.27810511691337</c:v>
                </c:pt>
                <c:pt idx="971">
                  <c:v>166.27809276165195</c:v>
                </c:pt>
                <c:pt idx="972">
                  <c:v>166.27808040490297</c:v>
                </c:pt>
                <c:pt idx="973">
                  <c:v>166.27806804666645</c:v>
                </c:pt>
                <c:pt idx="974">
                  <c:v>166.27805568694242</c:v>
                </c:pt>
                <c:pt idx="975">
                  <c:v>166.27804332573089</c:v>
                </c:pt>
                <c:pt idx="976">
                  <c:v>166.27803096303182</c:v>
                </c:pt>
                <c:pt idx="977">
                  <c:v>166.27801859884531</c:v>
                </c:pt>
                <c:pt idx="978">
                  <c:v>166.27800623317134</c:v>
                </c:pt>
                <c:pt idx="979">
                  <c:v>166.27799386600992</c:v>
                </c:pt>
                <c:pt idx="980">
                  <c:v>166.27798149736108</c:v>
                </c:pt>
                <c:pt idx="981">
                  <c:v>166.27796912722482</c:v>
                </c:pt>
                <c:pt idx="982">
                  <c:v>166.27795675560114</c:v>
                </c:pt>
                <c:pt idx="983">
                  <c:v>166.27794438249006</c:v>
                </c:pt>
                <c:pt idx="984">
                  <c:v>166.27793200789168</c:v>
                </c:pt>
                <c:pt idx="985">
                  <c:v>166.2779196318059</c:v>
                </c:pt>
                <c:pt idx="986">
                  <c:v>166.27790725423279</c:v>
                </c:pt>
                <c:pt idx="987">
                  <c:v>166.27789487517234</c:v>
                </c:pt>
                <c:pt idx="988">
                  <c:v>166.27788249462458</c:v>
                </c:pt>
                <c:pt idx="989">
                  <c:v>166.27787011258954</c:v>
                </c:pt>
                <c:pt idx="990">
                  <c:v>166.27785772906722</c:v>
                </c:pt>
                <c:pt idx="991">
                  <c:v>166.27784534405768</c:v>
                </c:pt>
                <c:pt idx="992">
                  <c:v>166.27783295756083</c:v>
                </c:pt>
                <c:pt idx="993">
                  <c:v>166.27782056957679</c:v>
                </c:pt>
                <c:pt idx="994">
                  <c:v>166.27780818010552</c:v>
                </c:pt>
                <c:pt idx="995">
                  <c:v>166.27779578914706</c:v>
                </c:pt>
                <c:pt idx="996">
                  <c:v>166.27778339670144</c:v>
                </c:pt>
                <c:pt idx="997">
                  <c:v>166.27777100276862</c:v>
                </c:pt>
                <c:pt idx="998">
                  <c:v>166.27775860734863</c:v>
                </c:pt>
                <c:pt idx="999">
                  <c:v>166.27774621044153</c:v>
                </c:pt>
                <c:pt idx="1000">
                  <c:v>166.27773381204733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D-4013-AEEF-2FD179FA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5760"/>
        <c:axId val="149132032"/>
      </c:scatterChart>
      <c:valAx>
        <c:axId val="149125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32032"/>
        <c:crosses val="autoZero"/>
        <c:crossBetween val="midCat"/>
      </c:valAx>
      <c:valAx>
        <c:axId val="1491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Courbes!$B$141</c:f>
              <c:strCache>
                <c:ptCount val="1"/>
                <c:pt idx="0">
                  <c:v>Vitesse [m/s]</c:v>
                </c:pt>
              </c:strCache>
            </c:strRef>
          </c:tx>
          <c:layout>
            <c:manualLayout>
              <c:xMode val="edge"/>
              <c:yMode val="edge"/>
              <c:x val="2.5943396226415099E-2"/>
              <c:y val="0.22875870516185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25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9684544148961"/>
          <c:y val="0.46444479440069991"/>
          <c:w val="0.13207559550339221"/>
          <c:h val="7.77777777777777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Accélérations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339622641509524E-2"/>
          <c:y val="9.4771241830065356E-2"/>
          <c:w val="0.88679245283019104"/>
          <c:h val="0.8169934640522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Courbes!$B$137</c:f>
              <c:strCache>
                <c:ptCount val="1"/>
                <c:pt idx="0">
                  <c:v>Accélération longitudinale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Calculs!$AG$4:$AG$1004</c:f>
              <c:numCache>
                <c:formatCode>0.00</c:formatCode>
                <c:ptCount val="1001"/>
                <c:pt idx="0">
                  <c:v>0</c:v>
                </c:pt>
                <c:pt idx="1">
                  <c:v>-1.1473388261653703</c:v>
                </c:pt>
                <c:pt idx="2">
                  <c:v>25.579684607115833</c:v>
                </c:pt>
                <c:pt idx="3">
                  <c:v>52.305755580573475</c:v>
                </c:pt>
                <c:pt idx="4">
                  <c:v>79.041523951936739</c:v>
                </c:pt>
                <c:pt idx="5">
                  <c:v>105.79753104937457</c:v>
                </c:pt>
                <c:pt idx="6">
                  <c:v>119.02660664971503</c:v>
                </c:pt>
                <c:pt idx="7">
                  <c:v>118.70536057810598</c:v>
                </c:pt>
                <c:pt idx="8">
                  <c:v>118.38292753140175</c:v>
                </c:pt>
                <c:pt idx="9">
                  <c:v>118.05931487167851</c:v>
                </c:pt>
                <c:pt idx="10">
                  <c:v>117.73452999879444</c:v>
                </c:pt>
                <c:pt idx="11">
                  <c:v>117.40858034978928</c:v>
                </c:pt>
                <c:pt idx="12">
                  <c:v>117.08147339828001</c:v>
                </c:pt>
                <c:pt idx="13">
                  <c:v>116.75321665385354</c:v>
                </c:pt>
                <c:pt idx="14">
                  <c:v>116.4238176614564</c:v>
                </c:pt>
                <c:pt idx="15">
                  <c:v>116.09328400078127</c:v>
                </c:pt>
                <c:pt idx="16">
                  <c:v>115.761623285651</c:v>
                </c:pt>
                <c:pt idx="17">
                  <c:v>115.42884316339968</c:v>
                </c:pt>
                <c:pt idx="18">
                  <c:v>115.09495131425153</c:v>
                </c:pt>
                <c:pt idx="19">
                  <c:v>114.75995545069698</c:v>
                </c:pt>
                <c:pt idx="20">
                  <c:v>114.42386331686693</c:v>
                </c:pt>
                <c:pt idx="21">
                  <c:v>114.08668268790449</c:v>
                </c:pt>
                <c:pt idx="22">
                  <c:v>113.74842136933484</c:v>
                </c:pt>
                <c:pt idx="23">
                  <c:v>113.40908719643332</c:v>
                </c:pt>
                <c:pt idx="24">
                  <c:v>113.06868803359163</c:v>
                </c:pt>
                <c:pt idx="25">
                  <c:v>112.72723177368213</c:v>
                </c:pt>
                <c:pt idx="26">
                  <c:v>112.38472633742116</c:v>
                </c:pt>
                <c:pt idx="27">
                  <c:v>112.04117967273032</c:v>
                </c:pt>
                <c:pt idx="28">
                  <c:v>111.69659975409689</c:v>
                </c:pt>
                <c:pt idx="29">
                  <c:v>111.35099458193278</c:v>
                </c:pt>
                <c:pt idx="30">
                  <c:v>111.0043721819325</c:v>
                </c:pt>
                <c:pt idx="31">
                  <c:v>110.6567406044301</c:v>
                </c:pt>
                <c:pt idx="32">
                  <c:v>110.30810792375534</c:v>
                </c:pt>
                <c:pt idx="33">
                  <c:v>109.95848223758887</c:v>
                </c:pt>
                <c:pt idx="34">
                  <c:v>109.60787166631697</c:v>
                </c:pt>
                <c:pt idx="35">
                  <c:v>109.25628435238565</c:v>
                </c:pt>
                <c:pt idx="36">
                  <c:v>108.90372845965427</c:v>
                </c:pt>
                <c:pt idx="37">
                  <c:v>108.55021217274884</c:v>
                </c:pt>
                <c:pt idx="38">
                  <c:v>108.19574369641509</c:v>
                </c:pt>
                <c:pt idx="39">
                  <c:v>107.84033125487124</c:v>
                </c:pt>
                <c:pt idx="40">
                  <c:v>107.48398309116111</c:v>
                </c:pt>
                <c:pt idx="41">
                  <c:v>107.1267074665067</c:v>
                </c:pt>
                <c:pt idx="42">
                  <c:v>106.76851265966152</c:v>
                </c:pt>
                <c:pt idx="43">
                  <c:v>106.4094069662637</c:v>
                </c:pt>
                <c:pt idx="44">
                  <c:v>106.04939869818966</c:v>
                </c:pt>
                <c:pt idx="45">
                  <c:v>105.6884961829083</c:v>
                </c:pt>
                <c:pt idx="46">
                  <c:v>105.32670776283544</c:v>
                </c:pt>
                <c:pt idx="47">
                  <c:v>104.96404179468921</c:v>
                </c:pt>
                <c:pt idx="48">
                  <c:v>104.60050664884585</c:v>
                </c:pt>
                <c:pt idx="49">
                  <c:v>104.23611070869659</c:v>
                </c:pt>
                <c:pt idx="50">
                  <c:v>103.8708623700052</c:v>
                </c:pt>
                <c:pt idx="51">
                  <c:v>103.57666859698921</c:v>
                </c:pt>
                <c:pt idx="52">
                  <c:v>103.35363288606472</c:v>
                </c:pt>
                <c:pt idx="53">
                  <c:v>103.12986920506496</c:v>
                </c:pt>
                <c:pt idx="54">
                  <c:v>102.90538230697649</c:v>
                </c:pt>
                <c:pt idx="55">
                  <c:v>102.68017696153468</c:v>
                </c:pt>
                <c:pt idx="56">
                  <c:v>102.45425795490421</c:v>
                </c:pt>
                <c:pt idx="57">
                  <c:v>102.22763008935905</c:v>
                </c:pt>
                <c:pt idx="58">
                  <c:v>102.00029818296154</c:v>
                </c:pt>
                <c:pt idx="59">
                  <c:v>101.77226706924147</c:v>
                </c:pt>
                <c:pt idx="60">
                  <c:v>101.54354159687406</c:v>
                </c:pt>
                <c:pt idx="61">
                  <c:v>101.31412662935833</c:v>
                </c:pt>
                <c:pt idx="62">
                  <c:v>101.08402704469411</c:v>
                </c:pt>
                <c:pt idx="63">
                  <c:v>100.85324773505957</c:v>
                </c:pt>
                <c:pt idx="64">
                  <c:v>100.62179360648796</c:v>
                </c:pt>
                <c:pt idx="65">
                  <c:v>100.38966957854409</c:v>
                </c:pt>
                <c:pt idx="66">
                  <c:v>100.15688058400089</c:v>
                </c:pt>
                <c:pt idx="67">
                  <c:v>99.92343156851534</c:v>
                </c:pt>
                <c:pt idx="68">
                  <c:v>99.689327490304692</c:v>
                </c:pt>
                <c:pt idx="69">
                  <c:v>99.454573319822146</c:v>
                </c:pt>
                <c:pt idx="70">
                  <c:v>99.219174039432914</c:v>
                </c:pt>
                <c:pt idx="71">
                  <c:v>98.983134643089713</c:v>
                </c:pt>
                <c:pt idx="72">
                  <c:v>98.746460136008778</c:v>
                </c:pt>
                <c:pt idx="73">
                  <c:v>98.509155534345567</c:v>
                </c:pt>
                <c:pt idx="74">
                  <c:v>98.271225864870587</c:v>
                </c:pt>
                <c:pt idx="75">
                  <c:v>98.032676164645594</c:v>
                </c:pt>
                <c:pt idx="76">
                  <c:v>97.793511480699522</c:v>
                </c:pt>
                <c:pt idx="77">
                  <c:v>97.553736869704906</c:v>
                </c:pt>
                <c:pt idx="78">
                  <c:v>97.313357397654457</c:v>
                </c:pt>
                <c:pt idx="79">
                  <c:v>97.072378139537847</c:v>
                </c:pt>
                <c:pt idx="80">
                  <c:v>96.83080417901887</c:v>
                </c:pt>
                <c:pt idx="81">
                  <c:v>96.588640608112783</c:v>
                </c:pt>
                <c:pt idx="82">
                  <c:v>96.345892526864205</c:v>
                </c:pt>
                <c:pt idx="83">
                  <c:v>96.102565043025194</c:v>
                </c:pt>
                <c:pt idx="84">
                  <c:v>95.858663271734201</c:v>
                </c:pt>
                <c:pt idx="85">
                  <c:v>95.614192335194744</c:v>
                </c:pt>
                <c:pt idx="86">
                  <c:v>95.369157362355409</c:v>
                </c:pt>
                <c:pt idx="87">
                  <c:v>95.123563488589795</c:v>
                </c:pt>
                <c:pt idx="88">
                  <c:v>94.877415855377322</c:v>
                </c:pt>
                <c:pt idx="89">
                  <c:v>94.630719609984681</c:v>
                </c:pt>
                <c:pt idx="90">
                  <c:v>94.383479905147638</c:v>
                </c:pt>
                <c:pt idx="91">
                  <c:v>94.135701898753808</c:v>
                </c:pt>
                <c:pt idx="92">
                  <c:v>93.887390753526006</c:v>
                </c:pt>
                <c:pt idx="93">
                  <c:v>93.638551636706453</c:v>
                </c:pt>
                <c:pt idx="94">
                  <c:v>93.389189719741481</c:v>
                </c:pt>
                <c:pt idx="95">
                  <c:v>93.139310177967431</c:v>
                </c:pt>
                <c:pt idx="96">
                  <c:v>92.888918190297034</c:v>
                </c:pt>
                <c:pt idx="97">
                  <c:v>92.638018938906868</c:v>
                </c:pt>
                <c:pt idx="98">
                  <c:v>92.386617608925775</c:v>
                </c:pt>
                <c:pt idx="99">
                  <c:v>92.134719388123898</c:v>
                </c:pt>
                <c:pt idx="100">
                  <c:v>91.882329466603011</c:v>
                </c:pt>
                <c:pt idx="101">
                  <c:v>91.596030130703511</c:v>
                </c:pt>
                <c:pt idx="102">
                  <c:v>91.27579788465053</c:v>
                </c:pt>
                <c:pt idx="103">
                  <c:v>90.955072465963312</c:v>
                </c:pt>
                <c:pt idx="104">
                  <c:v>90.6338606186807</c:v>
                </c:pt>
                <c:pt idx="105">
                  <c:v>90.312169081541015</c:v>
                </c:pt>
                <c:pt idx="106">
                  <c:v>89.990004587571107</c:v>
                </c:pt>
                <c:pt idx="107">
                  <c:v>89.667373863678165</c:v>
                </c:pt>
                <c:pt idx="108">
                  <c:v>89.344283630243552</c:v>
                </c:pt>
                <c:pt idx="109">
                  <c:v>89.020740600719449</c:v>
                </c:pt>
                <c:pt idx="110">
                  <c:v>88.696751481227665</c:v>
                </c:pt>
                <c:pt idx="111">
                  <c:v>88.372322970161505</c:v>
                </c:pt>
                <c:pt idx="112">
                  <c:v>88.047461757789492</c:v>
                </c:pt>
                <c:pt idx="113">
                  <c:v>87.722174525862442</c:v>
                </c:pt>
                <c:pt idx="114">
                  <c:v>87.39646794722249</c:v>
                </c:pt>
                <c:pt idx="115">
                  <c:v>87.070348685415397</c:v>
                </c:pt>
                <c:pt idx="116">
                  <c:v>86.743823394305167</c:v>
                </c:pt>
                <c:pt idx="117">
                  <c:v>86.416898717691481</c:v>
                </c:pt>
                <c:pt idx="118">
                  <c:v>86.089581288930077</c:v>
                </c:pt>
                <c:pt idx="119">
                  <c:v>85.761877730555653</c:v>
                </c:pt>
                <c:pt idx="120">
                  <c:v>85.433794653907768</c:v>
                </c:pt>
                <c:pt idx="121">
                  <c:v>85.105338658759706</c:v>
                </c:pt>
                <c:pt idx="122">
                  <c:v>84.776516332949882</c:v>
                </c:pt>
                <c:pt idx="123">
                  <c:v>84.447334252016589</c:v>
                </c:pt>
                <c:pt idx="124">
                  <c:v>84.117798978835239</c:v>
                </c:pt>
                <c:pt idx="125">
                  <c:v>83.787917063259016</c:v>
                </c:pt>
                <c:pt idx="126">
                  <c:v>83.457695041762193</c:v>
                </c:pt>
                <c:pt idx="127">
                  <c:v>83.12713943708664</c:v>
                </c:pt>
                <c:pt idx="128">
                  <c:v>82.796256757891314</c:v>
                </c:pt>
                <c:pt idx="129">
                  <c:v>82.465053498404743</c:v>
                </c:pt>
                <c:pt idx="130">
                  <c:v>82.133536138080871</c:v>
                </c:pt>
                <c:pt idx="131">
                  <c:v>81.801711141257641</c:v>
                </c:pt>
                <c:pt idx="132">
                  <c:v>81.469584956819006</c:v>
                </c:pt>
                <c:pt idx="133">
                  <c:v>81.137164017860016</c:v>
                </c:pt>
                <c:pt idx="134">
                  <c:v>80.804454741354917</c:v>
                </c:pt>
                <c:pt idx="135">
                  <c:v>80.471463527828845</c:v>
                </c:pt>
                <c:pt idx="136">
                  <c:v>80.138196761032233</c:v>
                </c:pt>
                <c:pt idx="137">
                  <c:v>79.804660807618902</c:v>
                </c:pt>
                <c:pt idx="138">
                  <c:v>79.470862016827098</c:v>
                </c:pt>
                <c:pt idx="139">
                  <c:v>79.136806720164046</c:v>
                </c:pt>
                <c:pt idx="140">
                  <c:v>78.802501231093473</c:v>
                </c:pt>
                <c:pt idx="141">
                  <c:v>78.467951844726883</c:v>
                </c:pt>
                <c:pt idx="142">
                  <c:v>78.133164837517668</c:v>
                </c:pt>
                <c:pt idx="143">
                  <c:v>77.798146466958954</c:v>
                </c:pt>
                <c:pt idx="144">
                  <c:v>77.462902971284649</c:v>
                </c:pt>
                <c:pt idx="145">
                  <c:v>77.127440569173643</c:v>
                </c:pt>
                <c:pt idx="146">
                  <c:v>76.791765459457821</c:v>
                </c:pt>
                <c:pt idx="147">
                  <c:v>76.455883820833165</c:v>
                </c:pt>
                <c:pt idx="148">
                  <c:v>76.119801811574263</c:v>
                </c:pt>
                <c:pt idx="149">
                  <c:v>75.783525569252362</c:v>
                </c:pt>
                <c:pt idx="150">
                  <c:v>75.447061210456795</c:v>
                </c:pt>
                <c:pt idx="151">
                  <c:v>75.121873869370802</c:v>
                </c:pt>
                <c:pt idx="152">
                  <c:v>74.807973591568384</c:v>
                </c:pt>
                <c:pt idx="153">
                  <c:v>74.493898692125654</c:v>
                </c:pt>
                <c:pt idx="154">
                  <c:v>74.179654721586957</c:v>
                </c:pt>
                <c:pt idx="155">
                  <c:v>73.86524721136459</c:v>
                </c:pt>
                <c:pt idx="156">
                  <c:v>73.550681673503334</c:v>
                </c:pt>
                <c:pt idx="157">
                  <c:v>73.23596360044877</c:v>
                </c:pt>
                <c:pt idx="158">
                  <c:v>72.921098464817817</c:v>
                </c:pt>
                <c:pt idx="159">
                  <c:v>72.606091719172596</c:v>
                </c:pt>
                <c:pt idx="160">
                  <c:v>72.290948795797391</c:v>
                </c:pt>
                <c:pt idx="161">
                  <c:v>71.975675106478377</c:v>
                </c:pt>
                <c:pt idx="162">
                  <c:v>71.660276042286483</c:v>
                </c:pt>
                <c:pt idx="163">
                  <c:v>71.344756973363204</c:v>
                </c:pt>
                <c:pt idx="164">
                  <c:v>71.02912324870934</c:v>
                </c:pt>
                <c:pt idx="165">
                  <c:v>70.713380195976939</c:v>
                </c:pt>
                <c:pt idx="166">
                  <c:v>70.397533121264104</c:v>
                </c:pt>
                <c:pt idx="167">
                  <c:v>70.081587308912873</c:v>
                </c:pt>
                <c:pt idx="168">
                  <c:v>69.765548021310053</c:v>
                </c:pt>
                <c:pt idx="169">
                  <c:v>69.449420498691211</c:v>
                </c:pt>
                <c:pt idx="170">
                  <c:v>69.133209958947418</c:v>
                </c:pt>
                <c:pt idx="171">
                  <c:v>68.816921597435339</c:v>
                </c:pt>
                <c:pt idx="172">
                  <c:v>68.500560586790215</c:v>
                </c:pt>
                <c:pt idx="173">
                  <c:v>68.184132076741591</c:v>
                </c:pt>
                <c:pt idx="174">
                  <c:v>67.867641193932641</c:v>
                </c:pt>
                <c:pt idx="175">
                  <c:v>67.551093041741908</c:v>
                </c:pt>
                <c:pt idx="176">
                  <c:v>67.234492700108447</c:v>
                </c:pt>
                <c:pt idx="177">
                  <c:v>66.917845225359883</c:v>
                </c:pt>
                <c:pt idx="178">
                  <c:v>66.601155650043353</c:v>
                </c:pt>
                <c:pt idx="179">
                  <c:v>66.284428982759707</c:v>
                </c:pt>
                <c:pt idx="180">
                  <c:v>65.967670208000399</c:v>
                </c:pt>
                <c:pt idx="181">
                  <c:v>65.650884285987729</c:v>
                </c:pt>
                <c:pt idx="182">
                  <c:v>65.334076152517795</c:v>
                </c:pt>
                <c:pt idx="183">
                  <c:v>65.017250718806523</c:v>
                </c:pt>
                <c:pt idx="184">
                  <c:v>64.700412871338742</c:v>
                </c:pt>
                <c:pt idx="185">
                  <c:v>64.383567471720283</c:v>
                </c:pt>
                <c:pt idx="186">
                  <c:v>64.066719356532857</c:v>
                </c:pt>
                <c:pt idx="187">
                  <c:v>63.749873337192092</c:v>
                </c:pt>
                <c:pt idx="188">
                  <c:v>63.43303419980839</c:v>
                </c:pt>
                <c:pt idx="189">
                  <c:v>63.116206705050999</c:v>
                </c:pt>
                <c:pt idx="190">
                  <c:v>62.799395588014576</c:v>
                </c:pt>
                <c:pt idx="191">
                  <c:v>62.482605558089261</c:v>
                </c:pt>
                <c:pt idx="192">
                  <c:v>62.165841298833215</c:v>
                </c:pt>
                <c:pt idx="193">
                  <c:v>61.84910746784827</c:v>
                </c:pt>
                <c:pt idx="194">
                  <c:v>61.532408696658642</c:v>
                </c:pt>
                <c:pt idx="195">
                  <c:v>61.215749590592203</c:v>
                </c:pt>
                <c:pt idx="196">
                  <c:v>60.899134728664997</c:v>
                </c:pt>
                <c:pt idx="197">
                  <c:v>60.582568663468521</c:v>
                </c:pt>
                <c:pt idx="198">
                  <c:v>60.266055921059731</c:v>
                </c:pt>
                <c:pt idx="199">
                  <c:v>59.949601000854237</c:v>
                </c:pt>
                <c:pt idx="200">
                  <c:v>59.633208375522031</c:v>
                </c:pt>
                <c:pt idx="201">
                  <c:v>59.316882490886329</c:v>
                </c:pt>
                <c:pt idx="202">
                  <c:v>59.00062776582503</c:v>
                </c:pt>
                <c:pt idx="203">
                  <c:v>58.684448592175222</c:v>
                </c:pt>
                <c:pt idx="204">
                  <c:v>58.368349334640357</c:v>
                </c:pt>
                <c:pt idx="205">
                  <c:v>58.052334330700141</c:v>
                </c:pt>
                <c:pt idx="206">
                  <c:v>57.736407890523608</c:v>
                </c:pt>
                <c:pt idx="207">
                  <c:v>57.420574296884432</c:v>
                </c:pt>
                <c:pt idx="208">
                  <c:v>57.104837805079377</c:v>
                </c:pt>
                <c:pt idx="209">
                  <c:v>56.78920264284946</c:v>
                </c:pt>
                <c:pt idx="210">
                  <c:v>56.473673010303692</c:v>
                </c:pt>
                <c:pt idx="211">
                  <c:v>56.158253079845785</c:v>
                </c:pt>
                <c:pt idx="212">
                  <c:v>55.842946996103201</c:v>
                </c:pt>
                <c:pt idx="213">
                  <c:v>55.527758875859362</c:v>
                </c:pt>
                <c:pt idx="214">
                  <c:v>55.212692807988184</c:v>
                </c:pt>
                <c:pt idx="215">
                  <c:v>54.897752853391438</c:v>
                </c:pt>
                <c:pt idx="216">
                  <c:v>54.582943044938744</c:v>
                </c:pt>
                <c:pt idx="217">
                  <c:v>54.268267387410127</c:v>
                </c:pt>
                <c:pt idx="218">
                  <c:v>53.95372985744136</c:v>
                </c:pt>
                <c:pt idx="219">
                  <c:v>53.639334403471729</c:v>
                </c:pt>
                <c:pt idx="220">
                  <c:v>53.325084945694584</c:v>
                </c:pt>
                <c:pt idx="221">
                  <c:v>53.010985376010218</c:v>
                </c:pt>
                <c:pt idx="222">
                  <c:v>52.697039557981569</c:v>
                </c:pt>
                <c:pt idx="223">
                  <c:v>52.383251326792234</c:v>
                </c:pt>
                <c:pt idx="224">
                  <c:v>52.069624489207285</c:v>
                </c:pt>
                <c:pt idx="225">
                  <c:v>51.756162823536215</c:v>
                </c:pt>
                <c:pt idx="226">
                  <c:v>51.442870079598819</c:v>
                </c:pt>
                <c:pt idx="227">
                  <c:v>51.12974997869312</c:v>
                </c:pt>
                <c:pt idx="228">
                  <c:v>50.816806213566146</c:v>
                </c:pt>
                <c:pt idx="229">
                  <c:v>50.504042448386748</c:v>
                </c:pt>
                <c:pt idx="230">
                  <c:v>50.191462318721278</c:v>
                </c:pt>
                <c:pt idx="231">
                  <c:v>49.87906943151134</c:v>
                </c:pt>
                <c:pt idx="232">
                  <c:v>49.566867365053987</c:v>
                </c:pt>
                <c:pt idx="233">
                  <c:v>49.25485966898448</c:v>
                </c:pt>
                <c:pt idx="234">
                  <c:v>48.943049864261113</c:v>
                </c:pt>
                <c:pt idx="235">
                  <c:v>48.631441443152625</c:v>
                </c:pt>
                <c:pt idx="236">
                  <c:v>48.320037869227775</c:v>
                </c:pt>
                <c:pt idx="237">
                  <c:v>48.008842577347238</c:v>
                </c:pt>
                <c:pt idx="238">
                  <c:v>47.697858973657887</c:v>
                </c:pt>
                <c:pt idx="239">
                  <c:v>47.387090435589116</c:v>
                </c:pt>
                <c:pt idx="240">
                  <c:v>47.076540311851545</c:v>
                </c:pt>
                <c:pt idx="241">
                  <c:v>46.766211922438139</c:v>
                </c:pt>
                <c:pt idx="242">
                  <c:v>46.456108558626973</c:v>
                </c:pt>
                <c:pt idx="243">
                  <c:v>46.146233482986844</c:v>
                </c:pt>
                <c:pt idx="244">
                  <c:v>45.836589929384488</c:v>
                </c:pt>
                <c:pt idx="245">
                  <c:v>45.527181102994305</c:v>
                </c:pt>
                <c:pt idx="246">
                  <c:v>45.21801018031006</c:v>
                </c:pt>
                <c:pt idx="247">
                  <c:v>44.909080309158632</c:v>
                </c:pt>
                <c:pt idx="248">
                  <c:v>44.600394608716044</c:v>
                </c:pt>
                <c:pt idx="249">
                  <c:v>44.291956169525328</c:v>
                </c:pt>
                <c:pt idx="250">
                  <c:v>43.983768053516485</c:v>
                </c:pt>
                <c:pt idx="251">
                  <c:v>43.625754836039576</c:v>
                </c:pt>
                <c:pt idx="252">
                  <c:v>43.217945386825804</c:v>
                </c:pt>
                <c:pt idx="253">
                  <c:v>42.810492080098058</c:v>
                </c:pt>
                <c:pt idx="254">
                  <c:v>42.403399350571149</c:v>
                </c:pt>
                <c:pt idx="255">
                  <c:v>41.996671585984942</c:v>
                </c:pt>
                <c:pt idx="256">
                  <c:v>41.590313127159959</c:v>
                </c:pt>
                <c:pt idx="257">
                  <c:v>41.184328268056731</c:v>
                </c:pt>
                <c:pt idx="258">
                  <c:v>40.778721255838775</c:v>
                </c:pt>
                <c:pt idx="259">
                  <c:v>40.373496290939208</c:v>
                </c:pt>
                <c:pt idx="260">
                  <c:v>39.968657527131072</c:v>
                </c:pt>
                <c:pt idx="261">
                  <c:v>39.56420907160102</c:v>
                </c:pt>
                <c:pt idx="262">
                  <c:v>39.160154985026622</c:v>
                </c:pt>
                <c:pt idx="263">
                  <c:v>38.756499281657135</c:v>
                </c:pt>
                <c:pt idx="264">
                  <c:v>38.353245929397687</c:v>
                </c:pt>
                <c:pt idx="265">
                  <c:v>37.95039884989675</c:v>
                </c:pt>
                <c:pt idx="266">
                  <c:v>37.5479619186371</c:v>
                </c:pt>
                <c:pt idx="267">
                  <c:v>37.145938965029821</c:v>
                </c:pt>
                <c:pt idx="268">
                  <c:v>36.744333772511879</c:v>
                </c:pt>
                <c:pt idx="269">
                  <c:v>36.34315007864658</c:v>
                </c:pt>
                <c:pt idx="270">
                  <c:v>35.94239157522734</c:v>
                </c:pt>
                <c:pt idx="271">
                  <c:v>35.542061908384518</c:v>
                </c:pt>
                <c:pt idx="272">
                  <c:v>35.142164678695366</c:v>
                </c:pt>
                <c:pt idx="273">
                  <c:v>34.742703441296989</c:v>
                </c:pt>
                <c:pt idx="274">
                  <c:v>34.343681706002144</c:v>
                </c:pt>
                <c:pt idx="275">
                  <c:v>33.945102937418191</c:v>
                </c:pt>
                <c:pt idx="276">
                  <c:v>33.546970555068675</c:v>
                </c:pt>
                <c:pt idx="277">
                  <c:v>33.14928793351811</c:v>
                </c:pt>
                <c:pt idx="278">
                  <c:v>32.752058402499124</c:v>
                </c:pt>
                <c:pt idx="279">
                  <c:v>32.355285247042758</c:v>
                </c:pt>
                <c:pt idx="280">
                  <c:v>31.958971707611155</c:v>
                </c:pt>
                <c:pt idx="281">
                  <c:v>31.563120980233187</c:v>
                </c:pt>
                <c:pt idx="282">
                  <c:v>31.167736216642524</c:v>
                </c:pt>
                <c:pt idx="283">
                  <c:v>30.772820524418382</c:v>
                </c:pt>
                <c:pt idx="284">
                  <c:v>30.378376967128688</c:v>
                </c:pt>
                <c:pt idx="285">
                  <c:v>29.984408564475938</c:v>
                </c:pt>
                <c:pt idx="286">
                  <c:v>29.590918292445291</c:v>
                </c:pt>
                <c:pt idx="287">
                  <c:v>29.197909083455208</c:v>
                </c:pt>
                <c:pt idx="288">
                  <c:v>28.805383826510507</c:v>
                </c:pt>
                <c:pt idx="289">
                  <c:v>28.413345367357444</c:v>
                </c:pt>
                <c:pt idx="290">
                  <c:v>28.021796508641497</c:v>
                </c:pt>
                <c:pt idx="291">
                  <c:v>27.630740010067051</c:v>
                </c:pt>
                <c:pt idx="292">
                  <c:v>27.240178588559473</c:v>
                </c:pt>
                <c:pt idx="293">
                  <c:v>26.850114918429167</c:v>
                </c:pt>
                <c:pt idx="294">
                  <c:v>26.46055163153796</c:v>
                </c:pt>
                <c:pt idx="295">
                  <c:v>26.071491317467355</c:v>
                </c:pt>
                <c:pt idx="296">
                  <c:v>25.682936523688912</c:v>
                </c:pt>
                <c:pt idx="297">
                  <c:v>25.294889755736612</c:v>
                </c:pt>
                <c:pt idx="298">
                  <c:v>24.355014167767326</c:v>
                </c:pt>
                <c:pt idx="299">
                  <c:v>22.86384969335505</c:v>
                </c:pt>
                <c:pt idx="300">
                  <c:v>21.374692018423296</c:v>
                </c:pt>
                <c:pt idx="301">
                  <c:v>19.887574207001506</c:v>
                </c:pt>
                <c:pt idx="302">
                  <c:v>18.402528765559008</c:v>
                </c:pt>
                <c:pt idx="303">
                  <c:v>16.919587643980712</c:v>
                </c:pt>
                <c:pt idx="304">
                  <c:v>15.438782236644506</c:v>
                </c:pt>
                <c:pt idx="305">
                  <c:v>13.960143383598851</c:v>
                </c:pt>
                <c:pt idx="306">
                  <c:v>12.483701371838412</c:v>
                </c:pt>
                <c:pt idx="307">
                  <c:v>11.009485936675752</c:v>
                </c:pt>
                <c:pt idx="308">
                  <c:v>9.5375262632078055</c:v>
                </c:pt>
                <c:pt idx="309">
                  <c:v>8.067850987874909</c:v>
                </c:pt>
                <c:pt idx="310">
                  <c:v>6.6004882001104033</c:v>
                </c:pt>
                <c:pt idx="311">
                  <c:v>5.1354654440794292</c:v>
                </c:pt>
                <c:pt idx="312">
                  <c:v>3.6728097205045351</c:v>
                </c:pt>
                <c:pt idx="313">
                  <c:v>2.2125474885766749</c:v>
                </c:pt>
                <c:pt idx="314">
                  <c:v>0.75470466794952173</c:v>
                </c:pt>
                <c:pt idx="315">
                  <c:v>-0.7006933591848199</c:v>
                </c:pt>
                <c:pt idx="316">
                  <c:v>-2.1536217459403799</c:v>
                </c:pt>
                <c:pt idx="317">
                  <c:v>-3.604056178504166</c:v>
                </c:pt>
                <c:pt idx="318">
                  <c:v>-5.0519728738270127</c:v>
                </c:pt>
                <c:pt idx="319">
                  <c:v>-6.4973485772405439</c:v>
                </c:pt>
                <c:pt idx="320">
                  <c:v>-7.9401605600016616</c:v>
                </c:pt>
                <c:pt idx="321">
                  <c:v>-9.1603869420399882</c:v>
                </c:pt>
                <c:pt idx="322">
                  <c:v>-10.158372395480949</c:v>
                </c:pt>
                <c:pt idx="323">
                  <c:v>-11.154552951134381</c:v>
                </c:pt>
                <c:pt idx="324">
                  <c:v>-12.148920680635534</c:v>
                </c:pt>
                <c:pt idx="325">
                  <c:v>-13.141467894260332</c:v>
                </c:pt>
                <c:pt idx="326">
                  <c:v>-14.132187139296974</c:v>
                </c:pt>
                <c:pt idx="327">
                  <c:v>-15.121071198403303</c:v>
                </c:pt>
                <c:pt idx="328">
                  <c:v>-16.108113087950631</c:v>
                </c:pt>
                <c:pt idx="329">
                  <c:v>-17.093306056354628</c:v>
                </c:pt>
                <c:pt idx="330">
                  <c:v>-18.076643582393707</c:v>
                </c:pt>
                <c:pt idx="331">
                  <c:v>-19.058119373515737</c:v>
                </c:pt>
                <c:pt idx="332">
                  <c:v>-20.037727364133211</c:v>
                </c:pt>
                <c:pt idx="333">
                  <c:v>-21.015461713907943</c:v>
                </c:pt>
                <c:pt idx="334">
                  <c:v>-21.991316806025388</c:v>
                </c:pt>
                <c:pt idx="335">
                  <c:v>-22.965287245459351</c:v>
                </c:pt>
                <c:pt idx="336">
                  <c:v>-23.937367857227613</c:v>
                </c:pt>
                <c:pt idx="337">
                  <c:v>-24.907553684638977</c:v>
                </c:pt>
                <c:pt idx="338">
                  <c:v>-25.87583998753221</c:v>
                </c:pt>
                <c:pt idx="339">
                  <c:v>-26.842222240507382</c:v>
                </c:pt>
                <c:pt idx="340">
                  <c:v>-27.806696131150275</c:v>
                </c:pt>
                <c:pt idx="341">
                  <c:v>-28.769257558250139</c:v>
                </c:pt>
                <c:pt idx="342">
                  <c:v>-29.729902630011527</c:v>
                </c:pt>
                <c:pt idx="343">
                  <c:v>-30.688627662260384</c:v>
                </c:pt>
                <c:pt idx="344">
                  <c:v>-31.645429176645262</c:v>
                </c:pt>
                <c:pt idx="345">
                  <c:v>-32.600303898833836</c:v>
                </c:pt>
                <c:pt idx="346">
                  <c:v>-33.553248756705329</c:v>
                </c:pt>
                <c:pt idx="347">
                  <c:v>-34.504260878539128</c:v>
                </c:pt>
                <c:pt idx="348">
                  <c:v>-35.429593491725697</c:v>
                </c:pt>
                <c:pt idx="349">
                  <c:v>-36.329295212612706</c:v>
                </c:pt>
                <c:pt idx="350">
                  <c:v>-37.227161839122473</c:v>
                </c:pt>
                <c:pt idx="351">
                  <c:v>-38.123191988434215</c:v>
                </c:pt>
                <c:pt idx="352">
                  <c:v>-39.017384447537204</c:v>
                </c:pt>
                <c:pt idx="353">
                  <c:v>-39.909738171579818</c:v>
                </c:pt>
                <c:pt idx="354">
                  <c:v>-40.800252282219361</c:v>
                </c:pt>
                <c:pt idx="355">
                  <c:v>-41.688926065972595</c:v>
                </c:pt>
                <c:pt idx="356">
                  <c:v>-42.575758972567812</c:v>
                </c:pt>
                <c:pt idx="357">
                  <c:v>-43.460750613298465</c:v>
                </c:pt>
                <c:pt idx="358">
                  <c:v>-44.343900759378712</c:v>
                </c:pt>
                <c:pt idx="359">
                  <c:v>-45.225209340301227</c:v>
                </c:pt>
                <c:pt idx="360">
                  <c:v>-45.610841249119339</c:v>
                </c:pt>
                <c:pt idx="361">
                  <c:v>-45.501942799483913</c:v>
                </c:pt>
                <c:pt idx="362">
                  <c:v>-45.393490227125213</c:v>
                </c:pt>
                <c:pt idx="363">
                  <c:v>-45.285481076769045</c:v>
                </c:pt>
                <c:pt idx="364">
                  <c:v>-45.177912910170896</c:v>
                </c:pt>
                <c:pt idx="365">
                  <c:v>-45.070783305973528</c:v>
                </c:pt>
                <c:pt idx="366">
                  <c:v>-44.964089859566016</c:v>
                </c:pt>
                <c:pt idx="367">
                  <c:v>-44.857830182944319</c:v>
                </c:pt>
                <c:pt idx="368">
                  <c:v>-44.752001904572808</c:v>
                </c:pt>
                <c:pt idx="369">
                  <c:v>-44.646602669247592</c:v>
                </c:pt>
                <c:pt idx="370">
                  <c:v>-44.541630137960865</c:v>
                </c:pt>
                <c:pt idx="371">
                  <c:v>-44.437081987766781</c:v>
                </c:pt>
                <c:pt idx="372">
                  <c:v>-44.332955911648412</c:v>
                </c:pt>
                <c:pt idx="373">
                  <c:v>-44.229249618386163</c:v>
                </c:pt>
                <c:pt idx="374">
                  <c:v>-44.125960832427388</c:v>
                </c:pt>
                <c:pt idx="375">
                  <c:v>-44.023087293757357</c:v>
                </c:pt>
                <c:pt idx="376">
                  <c:v>-43.920626757771231</c:v>
                </c:pt>
                <c:pt idx="377">
                  <c:v>-43.818576995147595</c:v>
                </c:pt>
                <c:pt idx="378">
                  <c:v>-43.716935791722932</c:v>
                </c:pt>
                <c:pt idx="379">
                  <c:v>-43.615700948367461</c:v>
                </c:pt>
                <c:pt idx="380">
                  <c:v>-43.514870280862041</c:v>
                </c:pt>
                <c:pt idx="381">
                  <c:v>-43.414441619776468</c:v>
                </c:pt>
                <c:pt idx="382">
                  <c:v>-43.314412810348657</c:v>
                </c:pt>
                <c:pt idx="383">
                  <c:v>-43.214781712365138</c:v>
                </c:pt>
                <c:pt idx="384">
                  <c:v>-43.115546200042751</c:v>
                </c:pt>
                <c:pt idx="385">
                  <c:v>-43.016704161911278</c:v>
                </c:pt>
                <c:pt idx="386">
                  <c:v>-42.918253500697368</c:v>
                </c:pt>
                <c:pt idx="387">
                  <c:v>-42.820192133209396</c:v>
                </c:pt>
                <c:pt idx="388">
                  <c:v>-42.72251799022365</c:v>
                </c:pt>
                <c:pt idx="389">
                  <c:v>-42.625229016371343</c:v>
                </c:pt>
                <c:pt idx="390">
                  <c:v>-42.528323170026809</c:v>
                </c:pt>
                <c:pt idx="391">
                  <c:v>-42.431798423196824</c:v>
                </c:pt>
                <c:pt idx="392">
                  <c:v>-42.335652761410813</c:v>
                </c:pt>
                <c:pt idx="393">
                  <c:v>-42.239884183612176</c:v>
                </c:pt>
                <c:pt idx="394">
                  <c:v>-42.144490702050746</c:v>
                </c:pt>
                <c:pt idx="395">
                  <c:v>-42.049470342175965</c:v>
                </c:pt>
                <c:pt idx="396">
                  <c:v>-41.95482114253138</c:v>
                </c:pt>
                <c:pt idx="397">
                  <c:v>-41.860541154649901</c:v>
                </c:pt>
                <c:pt idx="398">
                  <c:v>-41.766628442950193</c:v>
                </c:pt>
                <c:pt idx="399">
                  <c:v>-41.673081084633878</c:v>
                </c:pt>
                <c:pt idx="400">
                  <c:v>-41.579897169583909</c:v>
                </c:pt>
                <c:pt idx="401">
                  <c:v>-41.487074800263585</c:v>
                </c:pt>
                <c:pt idx="402">
                  <c:v>-40.570289748440146</c:v>
                </c:pt>
                <c:pt idx="403">
                  <c:v>-39.688380999244899</c:v>
                </c:pt>
                <c:pt idx="404">
                  <c:v>-38.839582831013558</c:v>
                </c:pt>
                <c:pt idx="405">
                  <c:v>-38.022241027996905</c:v>
                </c:pt>
                <c:pt idx="406">
                  <c:v>-37.23480447820809</c:v>
                </c:pt>
                <c:pt idx="407">
                  <c:v>-36.475817504264938</c:v>
                </c:pt>
                <c:pt idx="408">
                  <c:v>-35.743912854771921</c:v>
                </c:pt>
                <c:pt idx="409">
                  <c:v>-35.037805291769516</c:v>
                </c:pt>
                <c:pt idx="410">
                  <c:v>-34.356285716793032</c:v>
                </c:pt>
                <c:pt idx="411">
                  <c:v>-33.698215784257847</c:v>
                </c:pt>
                <c:pt idx="412">
                  <c:v>-33.062522956332778</c:v>
                </c:pt>
                <c:pt idx="413">
                  <c:v>-32.448195958271</c:v>
                </c:pt>
                <c:pt idx="414">
                  <c:v>-31.854280597421411</c:v>
                </c:pt>
                <c:pt idx="415">
                  <c:v>-31.279875912910132</c:v>
                </c:pt>
                <c:pt idx="416">
                  <c:v>-30.724130626325113</c:v>
                </c:pt>
                <c:pt idx="417">
                  <c:v>-30.186239866705648</c:v>
                </c:pt>
                <c:pt idx="418">
                  <c:v>-29.665442145781796</c:v>
                </c:pt>
                <c:pt idx="419">
                  <c:v>-29.161016561761983</c:v>
                </c:pt>
                <c:pt idx="420">
                  <c:v>-28.672280212068102</c:v>
                </c:pt>
                <c:pt idx="421">
                  <c:v>-28.198585797293198</c:v>
                </c:pt>
                <c:pt idx="422">
                  <c:v>-27.739319400335624</c:v>
                </c:pt>
                <c:pt idx="423">
                  <c:v>-27.29389842616655</c:v>
                </c:pt>
                <c:pt idx="424">
                  <c:v>-26.861769689035597</c:v>
                </c:pt>
                <c:pt idx="425">
                  <c:v>-26.442407635129882</c:v>
                </c:pt>
                <c:pt idx="426">
                  <c:v>-26.035312689789315</c:v>
                </c:pt>
                <c:pt idx="427">
                  <c:v>-25.640009719360123</c:v>
                </c:pt>
                <c:pt idx="428">
                  <c:v>-25.256046598650418</c:v>
                </c:pt>
                <c:pt idx="429">
                  <c:v>-24.882992875747298</c:v>
                </c:pt>
                <c:pt idx="430">
                  <c:v>-24.520438526672788</c:v>
                </c:pt>
                <c:pt idx="431">
                  <c:v>-24.167992793005595</c:v>
                </c:pt>
                <c:pt idx="432">
                  <c:v>-23.825283096182524</c:v>
                </c:pt>
                <c:pt idx="433">
                  <c:v>-23.491954022725633</c:v>
                </c:pt>
                <c:pt idx="434">
                  <c:v>-23.167666375123325</c:v>
                </c:pt>
                <c:pt idx="435">
                  <c:v>-22.852096283531402</c:v>
                </c:pt>
                <c:pt idx="436">
                  <c:v>-22.544934373857426</c:v>
                </c:pt>
                <c:pt idx="437">
                  <c:v>-22.245884988153229</c:v>
                </c:pt>
                <c:pt idx="438">
                  <c:v>-21.954665453569532</c:v>
                </c:pt>
                <c:pt idx="439">
                  <c:v>-21.671005396425844</c:v>
                </c:pt>
                <c:pt idx="440">
                  <c:v>-21.394646098222296</c:v>
                </c:pt>
                <c:pt idx="441">
                  <c:v>-21.125339890669089</c:v>
                </c:pt>
                <c:pt idx="442">
                  <c:v>-20.862849587036727</c:v>
                </c:pt>
                <c:pt idx="443">
                  <c:v>-20.606947947338444</c:v>
                </c:pt>
                <c:pt idx="444">
                  <c:v>-20.357417175046233</c:v>
                </c:pt>
                <c:pt idx="445">
                  <c:v>-20.114048443216149</c:v>
                </c:pt>
                <c:pt idx="446">
                  <c:v>-19.876641448058162</c:v>
                </c:pt>
                <c:pt idx="447">
                  <c:v>-19.645003988132068</c:v>
                </c:pt>
                <c:pt idx="448">
                  <c:v>-19.418951567485038</c:v>
                </c:pt>
                <c:pt idx="449">
                  <c:v>-19.198307021169981</c:v>
                </c:pt>
                <c:pt idx="450">
                  <c:v>-18.98290016169674</c:v>
                </c:pt>
                <c:pt idx="451">
                  <c:v>-18.772567445072553</c:v>
                </c:pt>
                <c:pt idx="452">
                  <c:v>-18.567151655183856</c:v>
                </c:pt>
                <c:pt idx="453">
                  <c:v>-18.366501605359797</c:v>
                </c:pt>
                <c:pt idx="454">
                  <c:v>-18.170471856039057</c:v>
                </c:pt>
                <c:pt idx="455">
                  <c:v>-17.978922447536554</c:v>
                </c:pt>
                <c:pt idx="456">
                  <c:v>-17.791718646975646</c:v>
                </c:pt>
                <c:pt idx="457">
                  <c:v>-17.608730708515445</c:v>
                </c:pt>
                <c:pt idx="458">
                  <c:v>-17.429833646061383</c:v>
                </c:pt>
                <c:pt idx="459">
                  <c:v>-17.254907017702219</c:v>
                </c:pt>
                <c:pt idx="460">
                  <c:v>-17.08383472116644</c:v>
                </c:pt>
                <c:pt idx="461">
                  <c:v>-16.91650479963798</c:v>
                </c:pt>
                <c:pt idx="462">
                  <c:v>-16.752809257314077</c:v>
                </c:pt>
                <c:pt idx="463">
                  <c:v>-16.592643884128222</c:v>
                </c:pt>
                <c:pt idx="464">
                  <c:v>-16.43590808909785</c:v>
                </c:pt>
                <c:pt idx="465">
                  <c:v>-16.282504741790966</c:v>
                </c:pt>
                <c:pt idx="466">
                  <c:v>-16.132340021437553</c:v>
                </c:pt>
                <c:pt idx="467">
                  <c:v>-15.985323273241011</c:v>
                </c:pt>
                <c:pt idx="468">
                  <c:v>-15.841366871472442</c:v>
                </c:pt>
                <c:pt idx="469">
                  <c:v>-15.700386088955685</c:v>
                </c:pt>
                <c:pt idx="470">
                  <c:v>-15.562298972574769</c:v>
                </c:pt>
                <c:pt idx="471">
                  <c:v>-15.42702622445722</c:v>
                </c:pt>
                <c:pt idx="472">
                  <c:v>-15.294491088506984</c:v>
                </c:pt>
                <c:pt idx="473">
                  <c:v>-15.164619241979461</c:v>
                </c:pt>
                <c:pt idx="474">
                  <c:v>-15.037338691808863</c:v>
                </c:pt>
                <c:pt idx="475">
                  <c:v>-14.912579675414063</c:v>
                </c:pt>
                <c:pt idx="476">
                  <c:v>-14.790274565724339</c:v>
                </c:pt>
                <c:pt idx="477">
                  <c:v>-14.670357780180311</c:v>
                </c:pt>
                <c:pt idx="478">
                  <c:v>-14.552765693478396</c:v>
                </c:pt>
                <c:pt idx="479">
                  <c:v>-14.437436553838882</c:v>
                </c:pt>
                <c:pt idx="480">
                  <c:v>-14.324310402589084</c:v>
                </c:pt>
                <c:pt idx="481">
                  <c:v>-14.213328996863074</c:v>
                </c:pt>
                <c:pt idx="482">
                  <c:v>-14.104435735229007</c:v>
                </c:pt>
                <c:pt idx="483">
                  <c:v>-13.9975755860638</c:v>
                </c:pt>
                <c:pt idx="484">
                  <c:v>-13.892695018502796</c:v>
                </c:pt>
                <c:pt idx="485">
                  <c:v>-13.789741935799555</c:v>
                </c:pt>
                <c:pt idx="486">
                  <c:v>-13.68866561093729</c:v>
                </c:pt>
                <c:pt idx="487">
                  <c:v>-13.589416624339886</c:v>
                </c:pt>
                <c:pt idx="488">
                  <c:v>-13.491946803535589</c:v>
                </c:pt>
                <c:pt idx="489">
                  <c:v>-13.396209164631571</c:v>
                </c:pt>
                <c:pt idx="490">
                  <c:v>-13.302157855461845</c:v>
                </c:pt>
                <c:pt idx="491">
                  <c:v>-13.209748100274801</c:v>
                </c:pt>
                <c:pt idx="492">
                  <c:v>-13.118936145830023</c:v>
                </c:pt>
                <c:pt idx="493">
                  <c:v>-13.029679208776791</c:v>
                </c:pt>
                <c:pt idx="494">
                  <c:v>-12.94193542418888</c:v>
                </c:pt>
                <c:pt idx="495">
                  <c:v>-12.855663795132255</c:v>
                </c:pt>
                <c:pt idx="496">
                  <c:v>-12.770824143143267</c:v>
                </c:pt>
                <c:pt idx="497">
                  <c:v>-12.687377059496027</c:v>
                </c:pt>
                <c:pt idx="498">
                  <c:v>-12.605283857137616</c:v>
                </c:pt>
                <c:pt idx="499">
                  <c:v>-12.524506523169798</c:v>
                </c:pt>
                <c:pt idx="500">
                  <c:v>-12.44500767175491</c:v>
                </c:pt>
                <c:pt idx="501">
                  <c:v>-12.366750497322437</c:v>
                </c:pt>
                <c:pt idx="502">
                  <c:v>-12.289698727950768</c:v>
                </c:pt>
                <c:pt idx="503">
                  <c:v>-12.213816578796244</c:v>
                </c:pt>
                <c:pt idx="504">
                  <c:v>-12.139068705438481</c:v>
                </c:pt>
                <c:pt idx="505">
                  <c:v>-12.065420157007184</c:v>
                </c:pt>
                <c:pt idx="506">
                  <c:v>-11.992836328951366</c:v>
                </c:pt>
                <c:pt idx="507">
                  <c:v>-11.921282915306614</c:v>
                </c:pt>
                <c:pt idx="508">
                  <c:v>-11.850725860310321</c:v>
                </c:pt>
                <c:pt idx="509">
                  <c:v>-11.781131309207987</c:v>
                </c:pt>
                <c:pt idx="510">
                  <c:v>-11.712465558086173</c:v>
                </c:pt>
                <c:pt idx="511">
                  <c:v>-11.644695002559295</c:v>
                </c:pt>
                <c:pt idx="512">
                  <c:v>-11.577786085127828</c:v>
                </c:pt>
                <c:pt idx="513">
                  <c:v>-11.511705241015088</c:v>
                </c:pt>
                <c:pt idx="514">
                  <c:v>-11.446418842278069</c:v>
                </c:pt>
                <c:pt idx="515">
                  <c:v>-11.381893139974832</c:v>
                </c:pt>
                <c:pt idx="516">
                  <c:v>-11.318094204156843</c:v>
                </c:pt>
                <c:pt idx="517">
                  <c:v>-11.254987861438876</c:v>
                </c:pt>
                <c:pt idx="518">
                  <c:v>-11.192539629882033</c:v>
                </c:pt>
                <c:pt idx="519">
                  <c:v>-11.130714650906455</c:v>
                </c:pt>
                <c:pt idx="520">
                  <c:v>-11.06947761792977</c:v>
                </c:pt>
                <c:pt idx="521">
                  <c:v>-11.008792701404667</c:v>
                </c:pt>
                <c:pt idx="522">
                  <c:v>-10.948623469904367</c:v>
                </c:pt>
                <c:pt idx="523">
                  <c:v>-10.888932806877909</c:v>
                </c:pt>
                <c:pt idx="524">
                  <c:v>-10.829682822667852</c:v>
                </c:pt>
                <c:pt idx="525">
                  <c:v>-10.770834761351134</c:v>
                </c:pt>
                <c:pt idx="526">
                  <c:v>-10.712348901929337</c:v>
                </c:pt>
                <c:pt idx="527">
                  <c:v>-10.654184453356931</c:v>
                </c:pt>
                <c:pt idx="528">
                  <c:v>-10.596299442855647</c:v>
                </c:pt>
                <c:pt idx="529">
                  <c:v>-10.538650596919032</c:v>
                </c:pt>
                <c:pt idx="530">
                  <c:v>-10.481193214364056</c:v>
                </c:pt>
                <c:pt idx="531">
                  <c:v>-10.423881030735648</c:v>
                </c:pt>
                <c:pt idx="532">
                  <c:v>-10.366666073315319</c:v>
                </c:pt>
                <c:pt idx="533">
                  <c:v>-10.309498505926697</c:v>
                </c:pt>
                <c:pt idx="534">
                  <c:v>-10.252326462668375</c:v>
                </c:pt>
                <c:pt idx="535">
                  <c:v>-10.195095869638472</c:v>
                </c:pt>
                <c:pt idx="536">
                  <c:v>-10.137750253645478</c:v>
                </c:pt>
                <c:pt idx="537">
                  <c:v>-10.080230536826832</c:v>
                </c:pt>
                <c:pt idx="538">
                  <c:v>-10.02247481602048</c:v>
                </c:pt>
                <c:pt idx="539">
                  <c:v>-9.9644181256562554</c:v>
                </c:pt>
                <c:pt idx="540">
                  <c:v>-9.9059921828538826</c:v>
                </c:pt>
                <c:pt idx="541">
                  <c:v>-9.8471251133343713</c:v>
                </c:pt>
                <c:pt idx="542">
                  <c:v>-9.7877411566728423</c:v>
                </c:pt>
                <c:pt idx="543">
                  <c:v>-9.7277603493459228</c:v>
                </c:pt>
                <c:pt idx="544">
                  <c:v>-9.6670981839583607</c:v>
                </c:pt>
                <c:pt idx="545">
                  <c:v>-9.6056652429755207</c:v>
                </c:pt>
                <c:pt idx="546">
                  <c:v>-9.5433668052451637</c:v>
                </c:pt>
                <c:pt idx="547">
                  <c:v>-9.480102423569976</c:v>
                </c:pt>
                <c:pt idx="548">
                  <c:v>-9.4157654715987107</c:v>
                </c:pt>
                <c:pt idx="549">
                  <c:v>-9.3502426583483498</c:v>
                </c:pt>
                <c:pt idx="550">
                  <c:v>-9.2834135087639176</c:v>
                </c:pt>
                <c:pt idx="551">
                  <c:v>-9.215149808881069</c:v>
                </c:pt>
                <c:pt idx="552">
                  <c:v>-9.1453150143971023</c:v>
                </c:pt>
                <c:pt idx="553">
                  <c:v>-9.073763621800417</c:v>
                </c:pt>
                <c:pt idx="554">
                  <c:v>-9.0003405016832172</c:v>
                </c:pt>
                <c:pt idx="555">
                  <c:v>-8.9248801944991634</c:v>
                </c:pt>
                <c:pt idx="556">
                  <c:v>-8.8472061698656681</c:v>
                </c:pt>
                <c:pt idx="557">
                  <c:v>-8.7671300515948403</c:v>
                </c:pt>
                <c:pt idx="558">
                  <c:v>-8.6844508120222574</c:v>
                </c:pt>
                <c:pt idx="559">
                  <c:v>-8.5989539409522191</c:v>
                </c:pt>
                <c:pt idx="560">
                  <c:v>-8.5104105967252224</c:v>
                </c:pt>
                <c:pt idx="561">
                  <c:v>-8.4185767496225008</c:v>
                </c:pt>
                <c:pt idx="562">
                  <c:v>-8.3231923311477853</c:v>
                </c:pt>
                <c:pt idx="563">
                  <c:v>-8.2239804067722648</c:v>
                </c:pt>
                <c:pt idx="564">
                  <c:v>-8.1206463946064265</c:v>
                </c:pt>
                <c:pt idx="565">
                  <c:v>-8.0128773582867865</c:v>
                </c:pt>
                <c:pt idx="566">
                  <c:v>-7.900341409247817</c:v>
                </c:pt>
                <c:pt idx="567">
                  <c:v>-7.78268726158786</c:v>
                </c:pt>
                <c:pt idx="568">
                  <c:v>-7.6595439920016757</c:v>
                </c:pt>
                <c:pt idx="569">
                  <c:v>-7.5305210677624039</c:v>
                </c:pt>
                <c:pt idx="570">
                  <c:v>-7.3952087174350041</c:v>
                </c:pt>
                <c:pt idx="571">
                  <c:v>-7.2531787317205181</c:v>
                </c:pt>
                <c:pt idx="572">
                  <c:v>-7.103985795233446</c:v>
                </c:pt>
                <c:pt idx="573">
                  <c:v>-6.9471694635522852</c:v>
                </c:pt>
                <c:pt idx="574">
                  <c:v>-6.782256912720988</c:v>
                </c:pt>
                <c:pt idx="575">
                  <c:v>-6.60876659932529</c:v>
                </c:pt>
                <c:pt idx="576">
                  <c:v>-6.4262129767043419</c:v>
                </c:pt>
                <c:pt idx="577">
                  <c:v>-6.2341124146821398</c:v>
                </c:pt>
                <c:pt idx="578">
                  <c:v>-6.031990463800831</c:v>
                </c:pt>
                <c:pt idx="579">
                  <c:v>-5.8193905873142509</c:v>
                </c:pt>
                <c:pt idx="580">
                  <c:v>-5.5958844516987689</c:v>
                </c:pt>
                <c:pt idx="581">
                  <c:v>-5.361083815589927</c:v>
                </c:pt>
                <c:pt idx="582">
                  <c:v>-5.1146539845880001</c:v>
                </c:pt>
                <c:pt idx="583">
                  <c:v>-4.8563287029352145</c:v>
                </c:pt>
                <c:pt idx="584">
                  <c:v>-4.5859262320140051</c:v>
                </c:pt>
                <c:pt idx="585">
                  <c:v>-4.3033662220032527</c:v>
                </c:pt>
                <c:pt idx="586">
                  <c:v>-4.0086868226269052</c:v>
                </c:pt>
                <c:pt idx="587">
                  <c:v>-3.7020613121083312</c:v>
                </c:pt>
                <c:pt idx="588">
                  <c:v>-3.3838133656502181</c:v>
                </c:pt>
                <c:pt idx="589">
                  <c:v>-3.0544299562348369</c:v>
                </c:pt>
                <c:pt idx="590">
                  <c:v>-2.7145708049529067</c:v>
                </c:pt>
                <c:pt idx="591">
                  <c:v>-2.3650732998482309</c:v>
                </c:pt>
                <c:pt idx="592">
                  <c:v>-2.0069519026484679</c:v>
                </c:pt>
                <c:pt idx="593">
                  <c:v>-1.6413912749791131</c:v>
                </c:pt>
                <c:pt idx="594">
                  <c:v>-1.269732680138804</c:v>
                </c:pt>
                <c:pt idx="595">
                  <c:v>-0.8934536371849966</c:v>
                </c:pt>
                <c:pt idx="596">
                  <c:v>-0.51414128724586272</c:v>
                </c:pt>
                <c:pt idx="597">
                  <c:v>-0.13346042865998564</c:v>
                </c:pt>
                <c:pt idx="598">
                  <c:v>0.24688237038268479</c:v>
                </c:pt>
                <c:pt idx="599">
                  <c:v>0.62517682370839622</c:v>
                </c:pt>
                <c:pt idx="600">
                  <c:v>0.99974718675162644</c:v>
                </c:pt>
                <c:pt idx="601">
                  <c:v>1.3689887470120412</c:v>
                </c:pt>
                <c:pt idx="602">
                  <c:v>1.7314007301167429</c:v>
                </c:pt>
                <c:pt idx="603">
                  <c:v>2.0856141266085153</c:v>
                </c:pt>
                <c:pt idx="604">
                  <c:v>2.4304133796031464</c:v>
                </c:pt>
                <c:pt idx="605">
                  <c:v>2.7647513663313541</c:v>
                </c:pt>
                <c:pt idx="606">
                  <c:v>3.0877575982054295</c:v>
                </c:pt>
                <c:pt idx="607">
                  <c:v>3.3987400026555092</c:v>
                </c:pt>
                <c:pt idx="608">
                  <c:v>3.6971809980510026</c:v>
                </c:pt>
                <c:pt idx="609">
                  <c:v>3.9827288105231138</c:v>
                </c:pt>
                <c:pt idx="610">
                  <c:v>4.2551851054433429</c:v>
                </c:pt>
                <c:pt idx="611">
                  <c:v>4.5144900275380611</c:v>
                </c:pt>
                <c:pt idx="612">
                  <c:v>4.7607056821236275</c:v>
                </c:pt>
                <c:pt idx="613">
                  <c:v>4.9939989699437701</c:v>
                </c:pt>
                <c:pt idx="614">
                  <c:v>5.214624533807525</c:v>
                </c:pt>
                <c:pt idx="615">
                  <c:v>5.4229084079157861</c:v>
                </c:pt>
                <c:pt idx="616">
                  <c:v>5.6192327970572222</c:v>
                </c:pt>
                <c:pt idx="617">
                  <c:v>5.8040222642594896</c:v>
                </c:pt>
                <c:pt idx="618">
                  <c:v>5.9777314787273372</c:v>
                </c:pt>
                <c:pt idx="619">
                  <c:v>6.1408345737603875</c:v>
                </c:pt>
                <c:pt idx="620">
                  <c:v>6.2938160866627468</c:v>
                </c:pt>
                <c:pt idx="621">
                  <c:v>6.437163397345242</c:v>
                </c:pt>
                <c:pt idx="622">
                  <c:v>6.571360546215689</c:v>
                </c:pt>
                <c:pt idx="623">
                  <c:v>6.6968832914750038</c:v>
                </c:pt>
                <c:pt idx="624">
                  <c:v>6.8141952575506064</c:v>
                </c:pt>
                <c:pt idx="625">
                  <c:v>6.9237450268929024</c:v>
                </c:pt>
                <c:pt idx="626">
                  <c:v>7.025964033993696</c:v>
                </c:pt>
                <c:pt idx="627">
                  <c:v>7.121265131031711</c:v>
                </c:pt>
                <c:pt idx="628">
                  <c:v>7.210041707282171</c:v>
                </c:pt>
                <c:pt idx="629">
                  <c:v>7.2926672580622292</c:v>
                </c:pt>
                <c:pt idx="630">
                  <c:v>7.3694953126138865</c:v>
                </c:pt>
                <c:pt idx="631">
                  <c:v>7.4408596433447132</c:v>
                </c:pt>
                <c:pt idx="632">
                  <c:v>7.5070746908813097</c:v>
                </c:pt>
                <c:pt idx="633">
                  <c:v>7.5684361502412818</c:v>
                </c:pt>
                <c:pt idx="634">
                  <c:v>7.6252216730211524</c:v>
                </c:pt>
                <c:pt idx="635">
                  <c:v>7.6776916488392599</c:v>
                </c:pt>
                <c:pt idx="636">
                  <c:v>7.7260900364276379</c:v>
                </c:pt>
                <c:pt idx="637">
                  <c:v>7.7706452208311214</c:v>
                </c:pt>
                <c:pt idx="638">
                  <c:v>7.8115708782567088</c:v>
                </c:pt>
                <c:pt idx="639">
                  <c:v>7.8490668343383305</c:v>
                </c:pt>
                <c:pt idx="640">
                  <c:v>7.8833199050555418</c:v>
                </c:pt>
                <c:pt idx="641">
                  <c:v>7.9145047123765178</c:v>
                </c:pt>
                <c:pt idx="642">
                  <c:v>7.9427844689836506</c:v>
                </c:pt>
                <c:pt idx="643">
                  <c:v>7.9683117282714742</c:v>
                </c:pt>
                <c:pt idx="644">
                  <c:v>7.9912290972575519</c:v>
                </c:pt>
                <c:pt idx="645">
                  <c:v>8.0116699111838443</c:v>
                </c:pt>
                <c:pt idx="646">
                  <c:v>8.0297588694650681</c:v>
                </c:pt>
                <c:pt idx="647">
                  <c:v>8.0456126333096645</c:v>
                </c:pt>
                <c:pt idx="648">
                  <c:v>8.0593403858381976</c:v>
                </c:pt>
                <c:pt idx="649">
                  <c:v>8.0710443558868743</c:v>
                </c:pt>
                <c:pt idx="650">
                  <c:v>8.0808203069379871</c:v>
                </c:pt>
                <c:pt idx="651">
                  <c:v>8.0887579927872686</c:v>
                </c:pt>
                <c:pt idx="652">
                  <c:v>8.0949415816590502</c:v>
                </c:pt>
                <c:pt idx="653">
                  <c:v>8.0994500505288141</c:v>
                </c:pt>
                <c:pt idx="654">
                  <c:v>8.102357551421747</c:v>
                </c:pt>
                <c:pt idx="655">
                  <c:v>8.1037337514346071</c:v>
                </c:pt>
                <c:pt idx="656">
                  <c:v>8.1036441481852162</c:v>
                </c:pt>
                <c:pt idx="657">
                  <c:v>8.1021503623347293</c:v>
                </c:pt>
                <c:pt idx="658">
                  <c:v>8.0993104087580488</c:v>
                </c:pt>
                <c:pt idx="659">
                  <c:v>8.0951789478608838</c:v>
                </c:pt>
                <c:pt idx="660">
                  <c:v>8.0898075184611944</c:v>
                </c:pt>
                <c:pt idx="661">
                  <c:v>8.0832447535701988</c:v>
                </c:pt>
                <c:pt idx="662">
                  <c:v>8.07553658032597</c:v>
                </c:pt>
                <c:pt idx="663">
                  <c:v>8.066726405251524</c:v>
                </c:pt>
                <c:pt idx="664">
                  <c:v>8.0568552859308031</c:v>
                </c:pt>
                <c:pt idx="665">
                  <c:v>8.0459620901204225</c:v>
                </c:pt>
                <c:pt idx="666">
                  <c:v>8.0340836432428109</c:v>
                </c:pt>
                <c:pt idx="667">
                  <c:v>8.0212548651381219</c:v>
                </c:pt>
                <c:pt idx="668">
                  <c:v>8.0075088968877193</c:v>
                </c:pt>
                <c:pt idx="669">
                  <c:v>7.9928772184614365</c:v>
                </c:pt>
                <c:pt idx="670">
                  <c:v>7.9773897578841835</c:v>
                </c:pt>
                <c:pt idx="671">
                  <c:v>7.9610749925644217</c:v>
                </c:pt>
                <c:pt idx="672">
                  <c:v>7.9439600433779196</c:v>
                </c:pt>
                <c:pt idx="673">
                  <c:v>7.9260707620543398</c:v>
                </c:pt>
                <c:pt idx="674">
                  <c:v>7.9074318123718808</c:v>
                </c:pt>
                <c:pt idx="675">
                  <c:v>7.8880667456258831</c:v>
                </c:pt>
                <c:pt idx="676">
                  <c:v>7.8679980708010486</c:v>
                </c:pt>
                <c:pt idx="677">
                  <c:v>7.8472473198433841</c:v>
                </c:pt>
                <c:pt idx="678">
                  <c:v>7.8258351083970945</c:v>
                </c:pt>
                <c:pt idx="679">
                  <c:v>7.8037811923430844</c:v>
                </c:pt>
                <c:pt idx="680">
                  <c:v>7.7811045204495048</c:v>
                </c:pt>
                <c:pt idx="681">
                  <c:v>7.7578232834205822</c:v>
                </c:pt>
                <c:pt idx="682">
                  <c:v>7.7339549596076793</c:v>
                </c:pt>
                <c:pt idx="683">
                  <c:v>7.709516357626029</c:v>
                </c:pt>
                <c:pt idx="684">
                  <c:v>7.6845236561018249</c:v>
                </c:pt>
                <c:pt idx="685">
                  <c:v>7.6589924407568226</c:v>
                </c:pt>
                <c:pt idx="686">
                  <c:v>7.6329377390218403</c:v>
                </c:pt>
                <c:pt idx="687">
                  <c:v>7.6063740523557479</c:v>
                </c:pt>
                <c:pt idx="688">
                  <c:v>7.5793153864330467</c:v>
                </c:pt>
                <c:pt idx="689">
                  <c:v>7.551775279350796</c:v>
                </c:pt>
                <c:pt idx="690">
                  <c:v>7.5237668279940779</c:v>
                </c:pt>
                <c:pt idx="691">
                  <c:v>7.4953027126888392</c:v>
                </c:pt>
                <c:pt idx="692">
                  <c:v>7.466395220261127</c:v>
                </c:pt>
                <c:pt idx="693">
                  <c:v>7.4370562656129096</c:v>
                </c:pt>
                <c:pt idx="694">
                  <c:v>7.4072974119164785</c:v>
                </c:pt>
                <c:pt idx="695">
                  <c:v>7.3771298895217718</c:v>
                </c:pt>
                <c:pt idx="696">
                  <c:v>7.3465646136641638</c:v>
                </c:pt>
                <c:pt idx="697">
                  <c:v>7.315612201053689</c:v>
                </c:pt>
                <c:pt idx="698">
                  <c:v>7.2842829854208926</c:v>
                </c:pt>
                <c:pt idx="699">
                  <c:v>7.2525870320889165</c:v>
                </c:pt>
                <c:pt idx="700">
                  <c:v>7.2205341516365849</c:v>
                </c:pt>
                <c:pt idx="701">
                  <c:v>7.1881339127123933</c:v>
                </c:pt>
                <c:pt idx="702">
                  <c:v>7.1553956540552104</c:v>
                </c:pt>
                <c:pt idx="703">
                  <c:v>7.1223284957734609</c:v>
                </c:pt>
                <c:pt idx="704">
                  <c:v>7.0889413499309066</c:v>
                </c:pt>
                <c:pt idx="705">
                  <c:v>7.055242930483816</c:v>
                </c:pt>
                <c:pt idx="706">
                  <c:v>7.0212417626111137</c:v>
                </c:pt>
                <c:pt idx="707">
                  <c:v>6.9869461914763376</c:v>
                </c:pt>
                <c:pt idx="708">
                  <c:v>6.9523643904574151</c:v>
                </c:pt>
                <c:pt idx="709">
                  <c:v>6.9175043688779194</c:v>
                </c:pt>
                <c:pt idx="710">
                  <c:v>6.882373979271148</c:v>
                </c:pt>
                <c:pt idx="711">
                  <c:v>6.8469809242062034</c:v>
                </c:pt>
                <c:pt idx="712">
                  <c:v>6.8113327627033291</c:v>
                </c:pt>
                <c:pt idx="713">
                  <c:v>6.7754369162639652</c:v>
                </c:pt>
                <c:pt idx="714">
                  <c:v>6.7393006745392423</c:v>
                </c:pt>
                <c:pt idx="715">
                  <c:v>6.7029312006590818</c:v>
                </c:pt>
                <c:pt idx="716">
                  <c:v>6.666335536242638</c:v>
                </c:pt>
                <c:pt idx="717">
                  <c:v>6.6295206061094776</c:v>
                </c:pt>
                <c:pt idx="718">
                  <c:v>6.5924932227095709</c:v>
                </c:pt>
                <c:pt idx="719">
                  <c:v>6.5552600902890852</c:v>
                </c:pt>
                <c:pt idx="720">
                  <c:v>6.5178278088078425</c:v>
                </c:pt>
                <c:pt idx="721">
                  <c:v>6.4802028776232943</c:v>
                </c:pt>
                <c:pt idx="722">
                  <c:v>6.4423916989549541</c:v>
                </c:pt>
                <c:pt idx="723">
                  <c:v>6.4044005811423261</c:v>
                </c:pt>
                <c:pt idx="724">
                  <c:v>6.3662357417085831</c:v>
                </c:pt>
                <c:pt idx="725">
                  <c:v>6.3279033102414548</c:v>
                </c:pt>
                <c:pt idx="726">
                  <c:v>6.2894093311020995</c:v>
                </c:pt>
                <c:pt idx="727">
                  <c:v>6.250759765972127</c:v>
                </c:pt>
                <c:pt idx="728">
                  <c:v>6.2119604962481727</c:v>
                </c:pt>
                <c:pt idx="729">
                  <c:v>6.1730173252930634</c:v>
                </c:pt>
                <c:pt idx="730">
                  <c:v>6.1339359805518399</c:v>
                </c:pt>
                <c:pt idx="731">
                  <c:v>6.0947221155406837</c:v>
                </c:pt>
                <c:pt idx="732">
                  <c:v>6.0553813117159825</c:v>
                </c:pt>
                <c:pt idx="733">
                  <c:v>6.0159190802306908</c:v>
                </c:pt>
                <c:pt idx="734">
                  <c:v>5.9763408635844382</c:v>
                </c:pt>
                <c:pt idx="735">
                  <c:v>5.9366520371736549</c:v>
                </c:pt>
                <c:pt idx="736">
                  <c:v>5.8968579107474888</c:v>
                </c:pt>
                <c:pt idx="737">
                  <c:v>5.8569637297750692</c:v>
                </c:pt>
                <c:pt idx="738">
                  <c:v>5.8169746767292416</c:v>
                </c:pt>
                <c:pt idx="739">
                  <c:v>5.7768958722917052</c:v>
                </c:pt>
                <c:pt idx="740">
                  <c:v>5.7367323764841487</c:v>
                </c:pt>
                <c:pt idx="741">
                  <c:v>5.6964891897297356</c:v>
                </c:pt>
                <c:pt idx="742">
                  <c:v>5.6561712538490339</c:v>
                </c:pt>
                <c:pt idx="743">
                  <c:v>5.6157834529943012</c:v>
                </c:pt>
                <c:pt idx="744">
                  <c:v>5.5753306145257664</c:v>
                </c:pt>
                <c:pt idx="745">
                  <c:v>5.5348175098333598</c:v>
                </c:pt>
                <c:pt idx="746">
                  <c:v>5.4942488551072</c:v>
                </c:pt>
                <c:pt idx="747">
                  <c:v>5.4536293120598831</c:v>
                </c:pt>
                <c:pt idx="748">
                  <c:v>5.41296348860355</c:v>
                </c:pt>
                <c:pt idx="749">
                  <c:v>5.3722559394844662</c:v>
                </c:pt>
                <c:pt idx="750">
                  <c:v>5.3315111668777337</c:v>
                </c:pt>
                <c:pt idx="751">
                  <c:v>5.2907336209446205</c:v>
                </c:pt>
                <c:pt idx="752">
                  <c:v>5.2499277003548581</c:v>
                </c:pt>
                <c:pt idx="753">
                  <c:v>5.2090977527761053</c:v>
                </c:pt>
                <c:pt idx="754">
                  <c:v>5.16824807533271</c:v>
                </c:pt>
                <c:pt idx="755">
                  <c:v>5.1273829150357395</c:v>
                </c:pt>
                <c:pt idx="756">
                  <c:v>5.0865064691861637</c:v>
                </c:pt>
                <c:pt idx="757">
                  <c:v>5.0456228857529677</c:v>
                </c:pt>
                <c:pt idx="758">
                  <c:v>5.0047362637279553</c:v>
                </c:pt>
                <c:pt idx="759">
                  <c:v>4.9638506534587332</c:v>
                </c:pt>
                <c:pt idx="760">
                  <c:v>4.9229700569614749</c:v>
                </c:pt>
                <c:pt idx="761">
                  <c:v>4.8820984282149125</c:v>
                </c:pt>
                <c:pt idx="762">
                  <c:v>4.8412396734368617</c:v>
                </c:pt>
                <c:pt idx="763">
                  <c:v>4.8003976513446167</c:v>
                </c:pt>
                <c:pt idx="764">
                  <c:v>4.7595761734004345</c:v>
                </c:pt>
                <c:pt idx="765">
                  <c:v>4.7187790040432702</c:v>
                </c:pt>
                <c:pt idx="766">
                  <c:v>4.6780098609078591</c:v>
                </c:pt>
                <c:pt idx="767">
                  <c:v>4.6372724150321769</c:v>
                </c:pt>
                <c:pt idx="768">
                  <c:v>4.5965702910543245</c:v>
                </c:pt>
                <c:pt idx="769">
                  <c:v>4.5559070673996773</c:v>
                </c:pt>
                <c:pt idx="770">
                  <c:v>4.5152862764592996</c:v>
                </c:pt>
                <c:pt idx="771">
                  <c:v>4.4747114047603684</c:v>
                </c:pt>
                <c:pt idx="772">
                  <c:v>4.4341858931294551</c:v>
                </c:pt>
                <c:pt idx="773">
                  <c:v>4.3937131368494322</c:v>
                </c:pt>
                <c:pt idx="774">
                  <c:v>4.3532964858106347</c:v>
                </c:pt>
                <c:pt idx="775">
                  <c:v>4.3129392446570938</c:v>
                </c:pt>
                <c:pt idx="776">
                  <c:v>4.2726446729283216</c:v>
                </c:pt>
                <c:pt idx="777">
                  <c:v>4.2324159851973819</c:v>
                </c:pt>
                <c:pt idx="778">
                  <c:v>4.1922563512057334</c:v>
                </c:pt>
                <c:pt idx="779">
                  <c:v>4.1521688959954401</c:v>
                </c:pt>
                <c:pt idx="780">
                  <c:v>4.1121567000392236</c:v>
                </c:pt>
                <c:pt idx="781">
                  <c:v>4.0722227993688307</c:v>
                </c:pt>
                <c:pt idx="782">
                  <c:v>4.0323701857022192</c:v>
                </c:pt>
                <c:pt idx="783">
                  <c:v>3.9926018065699553</c:v>
                </c:pt>
                <c:pt idx="784">
                  <c:v>3.952920565441171</c:v>
                </c:pt>
                <c:pt idx="785">
                  <c:v>3.9133293218495888</c:v>
                </c:pt>
                <c:pt idx="786">
                  <c:v>3.8738308915198569</c:v>
                </c:pt>
                <c:pt idx="787">
                  <c:v>3.8344280464945539</c:v>
                </c:pt>
                <c:pt idx="788">
                  <c:v>3.7951235152621985</c:v>
                </c:pt>
                <c:pt idx="789">
                  <c:v>3.755919982886577</c:v>
                </c:pt>
                <c:pt idx="790">
                  <c:v>3.7168200911375671</c:v>
                </c:pt>
                <c:pt idx="791">
                  <c:v>3.6778264386238266</c:v>
                </c:pt>
                <c:pt idx="792">
                  <c:v>3.6389415809275212</c:v>
                </c:pt>
                <c:pt idx="793">
                  <c:v>3.6001680307413206</c:v>
                </c:pt>
                <c:pt idx="794">
                  <c:v>3.5615082580078772</c:v>
                </c:pt>
                <c:pt idx="795">
                  <c:v>3.5229646900619827</c:v>
                </c:pt>
                <c:pt idx="796">
                  <c:v>3.4845397117755468</c:v>
                </c:pt>
                <c:pt idx="797">
                  <c:v>3.446235665705621</c:v>
                </c:pt>
                <c:pt idx="798">
                  <c:v>3.4080548522455363</c:v>
                </c:pt>
                <c:pt idx="799">
                  <c:v>3.369999529779375</c:v>
                </c:pt>
                <c:pt idx="800">
                  <c:v>3.3320719148397959</c:v>
                </c:pt>
                <c:pt idx="801">
                  <c:v>3.2942741822694721</c:v>
                </c:pt>
                <c:pt idx="802">
                  <c:v>3.256608465386071</c:v>
                </c:pt>
                <c:pt idx="803">
                  <c:v>3.2190768561509877</c:v>
                </c:pt>
                <c:pt idx="804">
                  <c:v>3.1816814053418838</c:v>
                </c:pt>
                <c:pt idx="805">
                  <c:v>3.1444241227290668</c:v>
                </c:pt>
                <c:pt idx="806">
                  <c:v>3.1073069772558224</c:v>
                </c:pt>
                <c:pt idx="807">
                  <c:v>3.0703318972226787</c:v>
                </c:pt>
                <c:pt idx="808">
                  <c:v>3.0335007704757491</c:v>
                </c:pt>
                <c:pt idx="809">
                  <c:v>2.9968154445990605</c:v>
                </c:pt>
                <c:pt idx="810">
                  <c:v>2.9602777271110456</c:v>
                </c:pt>
                <c:pt idx="811">
                  <c:v>2.9238893856650323</c:v>
                </c:pt>
                <c:pt idx="812">
                  <c:v>2.8876521482539408</c:v>
                </c:pt>
                <c:pt idx="813">
                  <c:v>2.8515677034190361</c:v>
                </c:pt>
                <c:pt idx="814">
                  <c:v>2.8156377004628066</c:v>
                </c:pt>
                <c:pt idx="815">
                  <c:v>2.7798637496659726</c:v>
                </c:pt>
                <c:pt idx="816">
                  <c:v>2.7442474225085514</c:v>
                </c:pt>
                <c:pt idx="817">
                  <c:v>2.7087902518950555</c:v>
                </c:pt>
                <c:pt idx="818">
                  <c:v>2.6734937323836503</c:v>
                </c:pt>
                <c:pt idx="819">
                  <c:v>2.6383593204194264</c:v>
                </c:pt>
                <c:pt idx="820">
                  <c:v>2.6033884345715839</c:v>
                </c:pt>
                <c:pt idx="821">
                  <c:v>2.5685824557746235</c:v>
                </c:pt>
                <c:pt idx="822">
                  <c:v>2.5339427275733888</c:v>
                </c:pt>
                <c:pt idx="823">
                  <c:v>2.4994705563719863</c:v>
                </c:pt>
                <c:pt idx="824">
                  <c:v>2.4651672116865226</c:v>
                </c:pt>
                <c:pt idx="825">
                  <c:v>2.4310339264015486</c:v>
                </c:pt>
                <c:pt idx="826">
                  <c:v>2.397071897030238</c:v>
                </c:pt>
                <c:pt idx="827">
                  <c:v>2.3632822839781751</c:v>
                </c:pt>
                <c:pt idx="828">
                  <c:v>2.3296662118106894</c:v>
                </c:pt>
                <c:pt idx="829">
                  <c:v>2.2962247695236773</c:v>
                </c:pt>
                <c:pt idx="830">
                  <c:v>2.2629590108179087</c:v>
                </c:pt>
                <c:pt idx="831">
                  <c:v>2.2298699543765812</c:v>
                </c:pt>
                <c:pt idx="832">
                  <c:v>2.1969585841462376</c:v>
                </c:pt>
                <c:pt idx="833">
                  <c:v>2.1642258496208306</c:v>
                </c:pt>
                <c:pt idx="834">
                  <c:v>2.131672666128881</c:v>
                </c:pt>
                <c:pt idx="835">
                  <c:v>2.0992999151237424</c:v>
                </c:pt>
                <c:pt idx="836">
                  <c:v>2.0671084444767143</c:v>
                </c:pt>
                <c:pt idx="837">
                  <c:v>2.0350990687730839</c:v>
                </c:pt>
                <c:pt idx="838">
                  <c:v>2.0032725696109219</c:v>
                </c:pt>
                <c:pt idx="839">
                  <c:v>1.9716296959025561</c:v>
                </c:pt>
                <c:pt idx="840">
                  <c:v>1.940171164178639</c:v>
                </c:pt>
                <c:pt idx="841">
                  <c:v>1.9088976588947313</c:v>
                </c:pt>
                <c:pt idx="842">
                  <c:v>1.8778098327402564</c:v>
                </c:pt>
                <c:pt idx="843">
                  <c:v>1.8469083069498344</c:v>
                </c:pt>
                <c:pt idx="844">
                  <c:v>1.816193671616781</c:v>
                </c:pt>
                <c:pt idx="845">
                  <c:v>1.785666486008755</c:v>
                </c:pt>
                <c:pt idx="846">
                  <c:v>1.7553272788854688</c:v>
                </c:pt>
                <c:pt idx="847">
                  <c:v>1.7251765488182684</c:v>
                </c:pt>
                <c:pt idx="848">
                  <c:v>1.695214764511622</c:v>
                </c:pt>
                <c:pt idx="849">
                  <c:v>1.6654423651263155</c:v>
                </c:pt>
                <c:pt idx="850">
                  <c:v>1.6358597606043084</c:v>
                </c:pt>
                <c:pt idx="851">
                  <c:v>1.6064673319951428</c:v>
                </c:pt>
                <c:pt idx="852">
                  <c:v>1.5772654317837969</c:v>
                </c:pt>
                <c:pt idx="853">
                  <c:v>1.5482543842199004</c:v>
                </c:pt>
                <c:pt idx="854">
                  <c:v>1.5194344856482349</c:v>
                </c:pt>
                <c:pt idx="855">
                  <c:v>1.4908060048403637</c:v>
                </c:pt>
                <c:pt idx="856">
                  <c:v>1.4623691833273575</c:v>
                </c:pt>
                <c:pt idx="857">
                  <c:v>1.4341242357334885</c:v>
                </c:pt>
                <c:pt idx="858">
                  <c:v>1.4060713501107944</c:v>
                </c:pt>
                <c:pt idx="859">
                  <c:v>1.3782106882744465</c:v>
                </c:pt>
                <c:pt idx="860">
                  <c:v>1.3505423861387982</c:v>
                </c:pt>
                <c:pt idx="861">
                  <c:v>1.3230665540540247</c:v>
                </c:pt>
                <c:pt idx="862">
                  <c:v>1.2957832771432845</c:v>
                </c:pt>
                <c:pt idx="863">
                  <c:v>1.2686926156403029</c:v>
                </c:pt>
                <c:pt idx="864">
                  <c:v>1.2417946052272164</c:v>
                </c:pt>
                <c:pt idx="865">
                  <c:v>1.2150892573727372</c:v>
                </c:pt>
                <c:pt idx="866">
                  <c:v>1.1885765596704125</c:v>
                </c:pt>
                <c:pt idx="867">
                  <c:v>1.1622564761769318</c:v>
                </c:pt>
                <c:pt idx="868">
                  <c:v>1.1361289477504233</c:v>
                </c:pt>
                <c:pt idx="869">
                  <c:v>1.1101938923886436</c:v>
                </c:pt>
                <c:pt idx="870">
                  <c:v>1.0844512055668964</c:v>
                </c:pt>
                <c:pt idx="871">
                  <c:v>1.0589007605757619</c:v>
                </c:pt>
                <c:pt idx="872">
                  <c:v>1.0335424088583842</c:v>
                </c:pt>
                <c:pt idx="873">
                  <c:v>1.0083759803473082</c:v>
                </c:pt>
                <c:pt idx="874">
                  <c:v>0.98340128380083947</c:v>
                </c:pt>
                <c:pt idx="875">
                  <c:v>0.95861810713871165</c:v>
                </c:pt>
                <c:pt idx="876">
                  <c:v>0.9340262177771379</c:v>
                </c:pt>
                <c:pt idx="877">
                  <c:v>0.90962536296302687</c:v>
                </c:pt>
                <c:pt idx="878">
                  <c:v>0.88541527010742804</c:v>
                </c:pt>
                <c:pt idx="879">
                  <c:v>0.86139564711798045</c:v>
                </c:pt>
                <c:pt idx="880">
                  <c:v>0.83756618273044836</c:v>
                </c:pt>
                <c:pt idx="881">
                  <c:v>0.8139265468391077</c:v>
                </c:pt>
                <c:pt idx="882">
                  <c:v>0.79047639082610743</c:v>
                </c:pt>
                <c:pt idx="883">
                  <c:v>0.76721534788952894</c:v>
                </c:pt>
                <c:pt idx="884">
                  <c:v>0.74414303337025345</c:v>
                </c:pt>
                <c:pt idx="885">
                  <c:v>0.72125904507742433</c:v>
                </c:pt>
                <c:pt idx="886">
                  <c:v>0.69856296361258252</c:v>
                </c:pt>
                <c:pt idx="887">
                  <c:v>0.67605435269230973</c:v>
                </c:pt>
                <c:pt idx="888">
                  <c:v>0.6537327594693263</c:v>
                </c:pt>
                <c:pt idx="889">
                  <c:v>0.63159771485204352</c:v>
                </c:pt>
                <c:pt idx="890">
                  <c:v>0.60964873382243745</c:v>
                </c:pt>
                <c:pt idx="891">
                  <c:v>0.58788531575228831</c:v>
                </c:pt>
                <c:pt idx="892">
                  <c:v>0.56630694471758325</c:v>
                </c:pt>
                <c:pt idx="893">
                  <c:v>0.54491308981117825</c:v>
                </c:pt>
                <c:pt idx="894">
                  <c:v>0.52370320545356464</c:v>
                </c:pt>
                <c:pt idx="895">
                  <c:v>0.50267673170171179</c:v>
                </c:pt>
                <c:pt idx="896">
                  <c:v>0.48183309455601808</c:v>
                </c:pt>
                <c:pt idx="897">
                  <c:v>0.46117170626516391</c:v>
                </c:pt>
                <c:pt idx="898">
                  <c:v>0.44069196562896096</c:v>
                </c:pt>
                <c:pt idx="899">
                  <c:v>0.42039325829909657</c:v>
                </c:pt>
                <c:pt idx="900">
                  <c:v>0.40027495707771976</c:v>
                </c:pt>
                <c:pt idx="901">
                  <c:v>0.38033642221384412</c:v>
                </c:pt>
                <c:pt idx="902">
                  <c:v>0.36057700169753204</c:v>
                </c:pt>
                <c:pt idx="903">
                  <c:v>0.34099603155179459</c:v>
                </c:pt>
                <c:pt idx="904">
                  <c:v>0.3215928361221998</c:v>
                </c:pt>
                <c:pt idx="905">
                  <c:v>0.30236672836414691</c:v>
                </c:pt>
                <c:pt idx="906">
                  <c:v>0.28331701012774602</c:v>
                </c:pt>
                <c:pt idx="907">
                  <c:v>0.26444297244027659</c:v>
                </c:pt>
                <c:pt idx="908">
                  <c:v>0.24574389578626032</c:v>
                </c:pt>
                <c:pt idx="909">
                  <c:v>0.22721905038499912</c:v>
                </c:pt>
                <c:pt idx="910">
                  <c:v>0.20886769646562797</c:v>
                </c:pt>
                <c:pt idx="911">
                  <c:v>0.19068908453964362</c:v>
                </c:pt>
                <c:pt idx="912">
                  <c:v>0.17268245567092677</c:v>
                </c:pt>
                <c:pt idx="913">
                  <c:v>0.1548470417430341</c:v>
                </c:pt>
                <c:pt idx="914">
                  <c:v>0.13718206572408675</c:v>
                </c:pt>
                <c:pt idx="915">
                  <c:v>0.11968674192882389</c:v>
                </c:pt>
                <c:pt idx="916">
                  <c:v>0.10236027627819055</c:v>
                </c:pt>
                <c:pt idx="917">
                  <c:v>8.5201866556104733E-2</c:v>
                </c:pt>
                <c:pt idx="918">
                  <c:v>6.8210702663634493E-2</c:v>
                </c:pt>
                <c:pt idx="919">
                  <c:v>5.1385966870411082E-2</c:v>
                </c:pt>
                <c:pt idx="920">
                  <c:v>3.472683406333843E-2</c:v>
                </c:pt>
                <c:pt idx="921">
                  <c:v>1.8232471992590149E-2</c:v>
                </c:pt>
                <c:pt idx="922">
                  <c:v>1.9020415147803504E-3</c:v>
                </c:pt>
                <c:pt idx="923">
                  <c:v>-1.4265303166538956E-2</c:v>
                </c:pt>
                <c:pt idx="924">
                  <c:v>-3.0270414263252832E-2</c:v>
                </c:pt>
                <c:pt idx="925">
                  <c:v>-4.6114150167758439E-2</c:v>
                </c:pt>
                <c:pt idx="926">
                  <c:v>-6.1797375220914219E-2</c:v>
                </c:pt>
                <c:pt idx="927">
                  <c:v>-7.7320959482733542E-2</c:v>
                </c:pt>
                <c:pt idx="928">
                  <c:v>-9.268577850592763E-2</c:v>
                </c:pt>
                <c:pt idx="929">
                  <c:v>-0.10789271311227289</c:v>
                </c:pt>
                <c:pt idx="930">
                  <c:v>-0.122942649171776</c:v>
                </c:pt>
                <c:pt idx="931">
                  <c:v>-0.12295753104555374</c:v>
                </c:pt>
                <c:pt idx="932">
                  <c:v>-0.12297241276485238</c:v>
                </c:pt>
                <c:pt idx="933">
                  <c:v>-0.12298729432969324</c:v>
                </c:pt>
                <c:pt idx="934">
                  <c:v>-0.12300217574006567</c:v>
                </c:pt>
                <c:pt idx="935">
                  <c:v>-0.12301705699596965</c:v>
                </c:pt>
                <c:pt idx="936">
                  <c:v>-0.12303193809741764</c:v>
                </c:pt>
                <c:pt idx="937">
                  <c:v>-0.12304681904439541</c:v>
                </c:pt>
                <c:pt idx="938">
                  <c:v>-0.12306169983691895</c:v>
                </c:pt>
                <c:pt idx="939">
                  <c:v>-0.12307658047498116</c:v>
                </c:pt>
                <c:pt idx="940">
                  <c:v>-0.12309146095858203</c:v>
                </c:pt>
                <c:pt idx="941">
                  <c:v>-0.12310634128772158</c:v>
                </c:pt>
                <c:pt idx="942">
                  <c:v>-0.12312122146240512</c:v>
                </c:pt>
                <c:pt idx="943">
                  <c:v>-0.12313610148263443</c:v>
                </c:pt>
                <c:pt idx="944">
                  <c:v>-0.12315098134840063</c:v>
                </c:pt>
                <c:pt idx="945">
                  <c:v>-0.12316586105972149</c:v>
                </c:pt>
                <c:pt idx="946">
                  <c:v>-0.1231807406165828</c:v>
                </c:pt>
                <c:pt idx="947">
                  <c:v>-0.12319562001898277</c:v>
                </c:pt>
                <c:pt idx="948">
                  <c:v>-0.12321049926694805</c:v>
                </c:pt>
                <c:pt idx="949">
                  <c:v>-0.12322537836044489</c:v>
                </c:pt>
                <c:pt idx="950">
                  <c:v>-0.12324025729949817</c:v>
                </c:pt>
                <c:pt idx="951">
                  <c:v>-0.12325513608409899</c:v>
                </c:pt>
                <c:pt idx="952">
                  <c:v>-0.12327001471425447</c:v>
                </c:pt>
                <c:pt idx="953">
                  <c:v>-0.12328489318996283</c:v>
                </c:pt>
                <c:pt idx="954">
                  <c:v>-0.12329977151122051</c:v>
                </c:pt>
                <c:pt idx="955">
                  <c:v>-0.1233146496780293</c:v>
                </c:pt>
                <c:pt idx="956">
                  <c:v>-0.12332952769039807</c:v>
                </c:pt>
                <c:pt idx="957">
                  <c:v>-0.12334440554831616</c:v>
                </c:pt>
                <c:pt idx="958">
                  <c:v>-0.12335928325179601</c:v>
                </c:pt>
                <c:pt idx="959">
                  <c:v>-0.12337416080083052</c:v>
                </c:pt>
                <c:pt idx="960">
                  <c:v>-0.12338903819542146</c:v>
                </c:pt>
                <c:pt idx="961">
                  <c:v>-0.12340391543556883</c:v>
                </c:pt>
                <c:pt idx="962">
                  <c:v>-0.12341879252128329</c:v>
                </c:pt>
                <c:pt idx="963">
                  <c:v>-0.12343366945256129</c:v>
                </c:pt>
                <c:pt idx="964">
                  <c:v>-0.12344854622939039</c:v>
                </c:pt>
                <c:pt idx="965">
                  <c:v>-0.12346342285178658</c:v>
                </c:pt>
                <c:pt idx="966">
                  <c:v>-0.12347829931974097</c:v>
                </c:pt>
                <c:pt idx="967">
                  <c:v>-0.12349317563326956</c:v>
                </c:pt>
                <c:pt idx="968">
                  <c:v>-0.12350805179235635</c:v>
                </c:pt>
                <c:pt idx="969">
                  <c:v>-0.12352292779700846</c:v>
                </c:pt>
                <c:pt idx="970">
                  <c:v>-0.12353780364722944</c:v>
                </c:pt>
                <c:pt idx="971">
                  <c:v>-0.12355267934301928</c:v>
                </c:pt>
                <c:pt idx="972">
                  <c:v>-0.12356755488437621</c:v>
                </c:pt>
                <c:pt idx="973">
                  <c:v>-0.123582430271302</c:v>
                </c:pt>
                <c:pt idx="974">
                  <c:v>-0.12359730550380021</c:v>
                </c:pt>
                <c:pt idx="975">
                  <c:v>-0.12361218058186907</c:v>
                </c:pt>
                <c:pt idx="976">
                  <c:v>-0.12362705550551034</c:v>
                </c:pt>
                <c:pt idx="977">
                  <c:v>-0.12364193027472403</c:v>
                </c:pt>
                <c:pt idx="978">
                  <c:v>-0.12365680488951014</c:v>
                </c:pt>
                <c:pt idx="979">
                  <c:v>-0.12367167934987222</c:v>
                </c:pt>
                <c:pt idx="980">
                  <c:v>-0.12368655365581205</c:v>
                </c:pt>
                <c:pt idx="981">
                  <c:v>-0.12370142780732962</c:v>
                </c:pt>
                <c:pt idx="982">
                  <c:v>-0.12371630180441784</c:v>
                </c:pt>
                <c:pt idx="983">
                  <c:v>-0.12373117564708913</c:v>
                </c:pt>
                <c:pt idx="984">
                  <c:v>-0.12374604933533639</c:v>
                </c:pt>
                <c:pt idx="985">
                  <c:v>-0.12376092286917029</c:v>
                </c:pt>
                <c:pt idx="986">
                  <c:v>-0.12377579624857837</c:v>
                </c:pt>
                <c:pt idx="987">
                  <c:v>-0.12379066947356954</c:v>
                </c:pt>
                <c:pt idx="988">
                  <c:v>-0.123805542544142</c:v>
                </c:pt>
                <c:pt idx="989">
                  <c:v>-0.12382041546029932</c:v>
                </c:pt>
                <c:pt idx="990">
                  <c:v>-0.12383528822204148</c:v>
                </c:pt>
                <c:pt idx="991">
                  <c:v>-0.12385016082936851</c:v>
                </c:pt>
                <c:pt idx="992">
                  <c:v>-0.12386503328228571</c:v>
                </c:pt>
                <c:pt idx="993">
                  <c:v>-0.12387990558078421</c:v>
                </c:pt>
                <c:pt idx="994">
                  <c:v>-0.12389477772487112</c:v>
                </c:pt>
                <c:pt idx="995">
                  <c:v>-0.12390964971454999</c:v>
                </c:pt>
                <c:pt idx="996">
                  <c:v>-0.12392452154981726</c:v>
                </c:pt>
                <c:pt idx="997">
                  <c:v>-0.12393939323067826</c:v>
                </c:pt>
                <c:pt idx="998">
                  <c:v>-0.12395426475712235</c:v>
                </c:pt>
                <c:pt idx="999">
                  <c:v>-0.12396913612916549</c:v>
                </c:pt>
                <c:pt idx="1000">
                  <c:v>-0.12398400734680237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3-45DE-97F3-E9553C4910C3}"/>
            </c:ext>
          </c:extLst>
        </c:ser>
        <c:ser>
          <c:idx val="1"/>
          <c:order val="1"/>
          <c:tx>
            <c:strRef>
              <c:f>Courbes!$B$138</c:f>
              <c:strCache>
                <c:ptCount val="1"/>
                <c:pt idx="0">
                  <c:v>Charge vue par un capteur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Calculs!$AH$4:$AH$1004</c:f>
              <c:numCache>
                <c:formatCode>0.00</c:formatCode>
                <c:ptCount val="1001"/>
                <c:pt idx="0">
                  <c:v>0</c:v>
                </c:pt>
                <c:pt idx="1">
                  <c:v>8.5725932601148873</c:v>
                </c:pt>
                <c:pt idx="2">
                  <c:v>35.299479076358082</c:v>
                </c:pt>
                <c:pt idx="3">
                  <c:v>62.025412498752836</c:v>
                </c:pt>
                <c:pt idx="4">
                  <c:v>88.761043670597147</c:v>
                </c:pt>
                <c:pt idx="5">
                  <c:v>115.5169142005185</c:v>
                </c:pt>
                <c:pt idx="6">
                  <c:v>128.74585413744776</c:v>
                </c:pt>
                <c:pt idx="7">
                  <c:v>128.42447342876608</c:v>
                </c:pt>
                <c:pt idx="8">
                  <c:v>128.10190675120663</c:v>
                </c:pt>
                <c:pt idx="9">
                  <c:v>127.77816144729047</c:v>
                </c:pt>
                <c:pt idx="10">
                  <c:v>127.45324489786537</c:v>
                </c:pt>
                <c:pt idx="11">
                  <c:v>127.12716452148483</c:v>
                </c:pt>
                <c:pt idx="12">
                  <c:v>126.79992777378446</c:v>
                </c:pt>
                <c:pt idx="13">
                  <c:v>126.47154214685601</c:v>
                </c:pt>
                <c:pt idx="14">
                  <c:v>126.14201516861937</c:v>
                </c:pt>
                <c:pt idx="15">
                  <c:v>125.81135440219224</c:v>
                </c:pt>
                <c:pt idx="16">
                  <c:v>125.47956744525793</c:v>
                </c:pt>
                <c:pt idx="17">
                  <c:v>125.1466619294311</c:v>
                </c:pt>
                <c:pt idx="18">
                  <c:v>124.81264551962185</c:v>
                </c:pt>
                <c:pt idx="19">
                  <c:v>124.47752591339768</c:v>
                </c:pt>
                <c:pt idx="20">
                  <c:v>124.14131084034435</c:v>
                </c:pt>
                <c:pt idx="21">
                  <c:v>123.80400806142455</c:v>
                </c:pt>
                <c:pt idx="22">
                  <c:v>123.46562536833564</c:v>
                </c:pt>
                <c:pt idx="23">
                  <c:v>123.12617058286567</c:v>
                </c:pt>
                <c:pt idx="24">
                  <c:v>122.78565155624834</c:v>
                </c:pt>
                <c:pt idx="25">
                  <c:v>122.44407616851647</c:v>
                </c:pt>
                <c:pt idx="26">
                  <c:v>122.10145232785482</c:v>
                </c:pt>
                <c:pt idx="27">
                  <c:v>121.75778796995138</c:v>
                </c:pt>
                <c:pt idx="28">
                  <c:v>121.41309105734825</c:v>
                </c:pt>
                <c:pt idx="29">
                  <c:v>121.06736957879134</c:v>
                </c:pt>
                <c:pt idx="30">
                  <c:v>120.72063154857948</c:v>
                </c:pt>
                <c:pt idx="31">
                  <c:v>120.37288500591289</c:v>
                </c:pt>
                <c:pt idx="32">
                  <c:v>120.02413801424123</c:v>
                </c:pt>
                <c:pt idx="33">
                  <c:v>119.67439866061081</c:v>
                </c:pt>
                <c:pt idx="34">
                  <c:v>119.32367505501192</c:v>
                </c:pt>
                <c:pt idx="35">
                  <c:v>118.97197532972564</c:v>
                </c:pt>
                <c:pt idx="36">
                  <c:v>118.61930763867043</c:v>
                </c:pt>
                <c:pt idx="37">
                  <c:v>118.26568015674874</c:v>
                </c:pt>
                <c:pt idx="38">
                  <c:v>117.91110107919366</c:v>
                </c:pt>
                <c:pt idx="39">
                  <c:v>117.5555786209154</c:v>
                </c:pt>
                <c:pt idx="40">
                  <c:v>117.19912101584841</c:v>
                </c:pt>
                <c:pt idx="41">
                  <c:v>116.84173651629824</c:v>
                </c:pt>
                <c:pt idx="42">
                  <c:v>116.48343339228924</c:v>
                </c:pt>
                <c:pt idx="43">
                  <c:v>116.12421993091232</c:v>
                </c:pt>
                <c:pt idx="44">
                  <c:v>115.76410443567346</c:v>
                </c:pt>
                <c:pt idx="45">
                  <c:v>115.40309522584288</c:v>
                </c:pt>
                <c:pt idx="46">
                  <c:v>115.04120063580466</c:v>
                </c:pt>
                <c:pt idx="47">
                  <c:v>114.67842901440751</c:v>
                </c:pt>
                <c:pt idx="48">
                  <c:v>114.31478872431607</c:v>
                </c:pt>
                <c:pt idx="49">
                  <c:v>113.95028814136343</c:v>
                </c:pt>
                <c:pt idx="50">
                  <c:v>113.58493565390454</c:v>
                </c:pt>
                <c:pt idx="51">
                  <c:v>113.29063821889332</c:v>
                </c:pt>
                <c:pt idx="52">
                  <c:v>113.06749932603194</c:v>
                </c:pt>
                <c:pt idx="53">
                  <c:v>112.84363293696977</c:v>
                </c:pt>
                <c:pt idx="54">
                  <c:v>112.61904379862052</c:v>
                </c:pt>
                <c:pt idx="55">
                  <c:v>112.393736674755</c:v>
                </c:pt>
                <c:pt idx="56">
                  <c:v>112.16771634567898</c:v>
                </c:pt>
                <c:pt idx="57">
                  <c:v>111.94098760791064</c:v>
                </c:pt>
                <c:pt idx="58">
                  <c:v>111.71355527385717</c:v>
                </c:pt>
                <c:pt idx="59">
                  <c:v>111.48542417149146</c:v>
                </c:pt>
                <c:pt idx="60">
                  <c:v>111.25659914402782</c:v>
                </c:pt>
                <c:pt idx="61">
                  <c:v>111.02708504959797</c:v>
                </c:pt>
                <c:pt idx="62">
                  <c:v>110.79688676092601</c:v>
                </c:pt>
                <c:pt idx="63">
                  <c:v>110.56600916500373</c:v>
                </c:pt>
                <c:pt idx="64">
                  <c:v>110.33445716276529</c:v>
                </c:pt>
                <c:pt idx="65">
                  <c:v>110.10223566876176</c:v>
                </c:pt>
                <c:pt idx="66">
                  <c:v>109.86934961083571</c:v>
                </c:pt>
                <c:pt idx="67">
                  <c:v>109.63580392979522</c:v>
                </c:pt>
                <c:pt idx="68">
                  <c:v>109.40160357908827</c:v>
                </c:pt>
                <c:pt idx="69">
                  <c:v>109.1667535244767</c:v>
                </c:pt>
                <c:pt idx="70">
                  <c:v>108.93125874371047</c:v>
                </c:pt>
                <c:pt idx="71">
                  <c:v>108.69512422620151</c:v>
                </c:pt>
                <c:pt idx="72">
                  <c:v>108.45835497269806</c:v>
                </c:pt>
                <c:pt idx="73">
                  <c:v>108.22095599495879</c:v>
                </c:pt>
                <c:pt idx="74">
                  <c:v>107.98293231542709</c:v>
                </c:pt>
                <c:pt idx="75">
                  <c:v>107.74428896690577</c:v>
                </c:pt>
                <c:pt idx="76">
                  <c:v>107.50503099223151</c:v>
                </c:pt>
                <c:pt idx="77">
                  <c:v>107.26516344394985</c:v>
                </c:pt>
                <c:pt idx="78">
                  <c:v>107.02469138399036</c:v>
                </c:pt>
                <c:pt idx="79">
                  <c:v>106.78361988334213</c:v>
                </c:pt>
                <c:pt idx="80">
                  <c:v>106.54195402172955</c:v>
                </c:pt>
                <c:pt idx="81">
                  <c:v>106.29969888728841</c:v>
                </c:pt>
                <c:pt idx="82">
                  <c:v>106.05685957624256</c:v>
                </c:pt>
                <c:pt idx="83">
                  <c:v>105.8134411925807</c:v>
                </c:pt>
                <c:pt idx="84">
                  <c:v>105.56944884773424</c:v>
                </c:pt>
                <c:pt idx="85">
                  <c:v>105.32488766025477</c:v>
                </c:pt>
                <c:pt idx="86">
                  <c:v>105.07976275549296</c:v>
                </c:pt>
                <c:pt idx="87">
                  <c:v>104.83407926527738</c:v>
                </c:pt>
                <c:pt idx="88">
                  <c:v>104.58784232759427</c:v>
                </c:pt>
                <c:pt idx="89">
                  <c:v>104.34105708626792</c:v>
                </c:pt>
                <c:pt idx="90">
                  <c:v>104.09372869064148</c:v>
                </c:pt>
                <c:pt idx="91">
                  <c:v>103.84586229525878</c:v>
                </c:pt>
                <c:pt idx="92">
                  <c:v>103.59746305954664</c:v>
                </c:pt>
                <c:pt idx="93">
                  <c:v>103.34853614749818</c:v>
                </c:pt>
                <c:pt idx="94">
                  <c:v>103.09908672735659</c:v>
                </c:pt>
                <c:pt idx="95">
                  <c:v>102.84911997130017</c:v>
                </c:pt>
                <c:pt idx="96">
                  <c:v>102.5986410551278</c:v>
                </c:pt>
                <c:pt idx="97">
                  <c:v>102.34765515794555</c:v>
                </c:pt>
                <c:pt idx="98">
                  <c:v>102.09616746185428</c:v>
                </c:pt>
                <c:pt idx="99">
                  <c:v>101.84418315163785</c:v>
                </c:pt>
                <c:pt idx="100">
                  <c:v>101.59170741445266</c:v>
                </c:pt>
                <c:pt idx="101">
                  <c:v>101.30532253373387</c:v>
                </c:pt>
                <c:pt idx="102">
                  <c:v>100.98500501071715</c:v>
                </c:pt>
                <c:pt idx="103">
                  <c:v>100.66419457985049</c:v>
                </c:pt>
                <c:pt idx="104">
                  <c:v>100.34289798214431</c:v>
                </c:pt>
                <c:pt idx="105">
                  <c:v>100.02112195335042</c:v>
                </c:pt>
                <c:pt idx="106">
                  <c:v>99.698873223550294</c:v>
                </c:pt>
                <c:pt idx="107">
                  <c:v>99.376158516746059</c:v>
                </c:pt>
                <c:pt idx="108">
                  <c:v>99.052984550453559</c:v>
                </c:pt>
                <c:pt idx="109">
                  <c:v>98.729358035298276</c:v>
                </c:pt>
                <c:pt idx="110">
                  <c:v>98.405285674613353</c:v>
                </c:pt>
                <c:pt idx="111">
                  <c:v>98.080774164040761</c:v>
                </c:pt>
                <c:pt idx="112">
                  <c:v>97.755830191134322</c:v>
                </c:pt>
                <c:pt idx="113">
                  <c:v>97.430460434966051</c:v>
                </c:pt>
                <c:pt idx="114">
                  <c:v>97.104671565734577</c:v>
                </c:pt>
                <c:pt idx="115">
                  <c:v>96.778470244376763</c:v>
                </c:pt>
                <c:pt idx="116">
                  <c:v>96.451863122181635</c:v>
                </c:pt>
                <c:pt idx="117">
                  <c:v>96.12485684040729</c:v>
                </c:pt>
                <c:pt idx="118">
                  <c:v>95.797458029900525</c:v>
                </c:pt>
                <c:pt idx="119">
                  <c:v>95.469673310719287</c:v>
                </c:pt>
                <c:pt idx="120">
                  <c:v>95.141509291757899</c:v>
                </c:pt>
                <c:pt idx="121">
                  <c:v>94.812972570375351</c:v>
                </c:pt>
                <c:pt idx="122">
                  <c:v>94.484069732026185</c:v>
                </c:pt>
                <c:pt idx="123">
                  <c:v>94.154807349894654</c:v>
                </c:pt>
                <c:pt idx="124">
                  <c:v>93.8251919845315</c:v>
                </c:pt>
                <c:pt idx="125">
                  <c:v>93.495230183493987</c:v>
                </c:pt>
                <c:pt idx="126">
                  <c:v>93.164928480988777</c:v>
                </c:pt>
                <c:pt idx="127">
                  <c:v>92.834293397517911</c:v>
                </c:pt>
                <c:pt idx="128">
                  <c:v>92.50333143952777</c:v>
                </c:pt>
                <c:pt idx="129">
                  <c:v>92.172049099061212</c:v>
                </c:pt>
                <c:pt idx="130">
                  <c:v>91.840452853412771</c:v>
                </c:pt>
                <c:pt idx="131">
                  <c:v>91.508549164786928</c:v>
                </c:pt>
                <c:pt idx="132">
                  <c:v>91.176344479959582</c:v>
                </c:pt>
                <c:pt idx="133">
                  <c:v>90.84384522994273</c:v>
                </c:pt>
                <c:pt idx="134">
                  <c:v>90.51105782965216</c:v>
                </c:pt>
                <c:pt idx="135">
                  <c:v>90.177988677578682</c:v>
                </c:pt>
                <c:pt idx="136">
                  <c:v>89.844644155462149</c:v>
                </c:pt>
                <c:pt idx="137">
                  <c:v>89.51103062796912</c:v>
                </c:pt>
                <c:pt idx="138">
                  <c:v>89.177154442373549</c:v>
                </c:pt>
                <c:pt idx="139">
                  <c:v>88.843021928240901</c:v>
                </c:pt>
                <c:pt idx="140">
                  <c:v>88.508639397115317</c:v>
                </c:pt>
                <c:pt idx="141">
                  <c:v>88.174013142210526</c:v>
                </c:pt>
                <c:pt idx="142">
                  <c:v>87.83914943810359</c:v>
                </c:pt>
                <c:pt idx="143">
                  <c:v>87.504054540432378</c:v>
                </c:pt>
                <c:pt idx="144">
                  <c:v>87.168734685596263</c:v>
                </c:pt>
                <c:pt idx="145">
                  <c:v>86.833196090460049</c:v>
                </c:pt>
                <c:pt idx="146">
                  <c:v>86.497444952061514</c:v>
                </c:pt>
                <c:pt idx="147">
                  <c:v>86.161487447322344</c:v>
                </c:pt>
                <c:pt idx="148">
                  <c:v>85.825329732762171</c:v>
                </c:pt>
                <c:pt idx="149">
                  <c:v>85.488977944216415</c:v>
                </c:pt>
                <c:pt idx="150">
                  <c:v>85.152438196557355</c:v>
                </c:pt>
                <c:pt idx="151">
                  <c:v>84.827175622269692</c:v>
                </c:pt>
                <c:pt idx="152">
                  <c:v>84.513200265278627</c:v>
                </c:pt>
                <c:pt idx="153">
                  <c:v>84.199050439060457</c:v>
                </c:pt>
                <c:pt idx="154">
                  <c:v>83.884731692576437</c:v>
                </c:pt>
                <c:pt idx="155">
                  <c:v>83.570249555672277</c:v>
                </c:pt>
                <c:pt idx="156">
                  <c:v>83.255609538842421</c:v>
                </c:pt>
                <c:pt idx="157">
                  <c:v>82.940817132998063</c:v>
                </c:pt>
                <c:pt idx="158">
                  <c:v>82.625877809237508</c:v>
                </c:pt>
                <c:pt idx="159">
                  <c:v>82.310797018619738</c:v>
                </c:pt>
                <c:pt idx="160">
                  <c:v>81.995580191941201</c:v>
                </c:pt>
                <c:pt idx="161">
                  <c:v>81.680232739515205</c:v>
                </c:pt>
                <c:pt idx="162">
                  <c:v>81.364760050954672</c:v>
                </c:pt>
                <c:pt idx="163">
                  <c:v>81.049167494957615</c:v>
                </c:pt>
                <c:pt idx="164">
                  <c:v>80.733460419095763</c:v>
                </c:pt>
                <c:pt idx="165">
                  <c:v>80.417644149606204</c:v>
                </c:pt>
                <c:pt idx="166">
                  <c:v>80.101723991186006</c:v>
                </c:pt>
                <c:pt idx="167">
                  <c:v>79.785705226789915</c:v>
                </c:pt>
                <c:pt idx="168">
                  <c:v>79.469593117430961</c:v>
                </c:pt>
                <c:pt idx="169">
                  <c:v>79.153392901984262</c:v>
                </c:pt>
                <c:pt idx="170">
                  <c:v>78.837109796993516</c:v>
                </c:pt>
                <c:pt idx="171">
                  <c:v>78.520748996480989</c:v>
                </c:pt>
                <c:pt idx="172">
                  <c:v>78.204315671760241</c:v>
                </c:pt>
                <c:pt idx="173">
                  <c:v>77.887814971251714</c:v>
                </c:pt>
                <c:pt idx="174">
                  <c:v>77.571252020301799</c:v>
                </c:pt>
                <c:pt idx="175">
                  <c:v>77.254631921004474</c:v>
                </c:pt>
                <c:pt idx="176">
                  <c:v>76.937959752026231</c:v>
                </c:pt>
                <c:pt idx="177">
                  <c:v>76.621240568433976</c:v>
                </c:pt>
                <c:pt idx="178">
                  <c:v>76.304479401525782</c:v>
                </c:pt>
                <c:pt idx="179">
                  <c:v>75.987681258664949</c:v>
                </c:pt>
                <c:pt idx="180">
                  <c:v>75.670851123116691</c:v>
                </c:pt>
                <c:pt idx="181">
                  <c:v>75.353993953888235</c:v>
                </c:pt>
                <c:pt idx="182">
                  <c:v>75.037114685571652</c:v>
                </c:pt>
                <c:pt idx="183">
                  <c:v>74.720218228189651</c:v>
                </c:pt>
                <c:pt idx="184">
                  <c:v>74.403309467044579</c:v>
                </c:pt>
                <c:pt idx="185">
                  <c:v>74.086393262570311</c:v>
                </c:pt>
                <c:pt idx="186">
                  <c:v>73.769474450187005</c:v>
                </c:pt>
                <c:pt idx="187">
                  <c:v>73.452557840158988</c:v>
                </c:pt>
                <c:pt idx="188">
                  <c:v>73.135648217455469</c:v>
                </c:pt>
                <c:pt idx="189">
                  <c:v>72.818750341614461</c:v>
                </c:pt>
                <c:pt idx="190">
                  <c:v>72.501868946609235</c:v>
                </c:pt>
                <c:pt idx="191">
                  <c:v>72.185008740718217</c:v>
                </c:pt>
                <c:pt idx="192">
                  <c:v>71.868174406397401</c:v>
                </c:pt>
                <c:pt idx="193">
                  <c:v>71.551370600155892</c:v>
                </c:pt>
                <c:pt idx="194">
                  <c:v>71.23460195243446</c:v>
                </c:pt>
                <c:pt idx="195">
                  <c:v>70.917873067486696</c:v>
                </c:pt>
                <c:pt idx="196">
                  <c:v>70.601188523263403</c:v>
                </c:pt>
                <c:pt idx="197">
                  <c:v>70.284552871299738</c:v>
                </c:pt>
                <c:pt idx="198">
                  <c:v>69.967970636605116</c:v>
                </c:pt>
                <c:pt idx="199">
                  <c:v>69.651446317556278</c:v>
                </c:pt>
                <c:pt idx="200">
                  <c:v>69.334984385792893</c:v>
                </c:pt>
                <c:pt idx="201">
                  <c:v>69.018589286116281</c:v>
                </c:pt>
                <c:pt idx="202">
                  <c:v>68.702265436390775</c:v>
                </c:pt>
                <c:pt idx="203">
                  <c:v>68.386017227448107</c:v>
                </c:pt>
                <c:pt idx="204">
                  <c:v>68.069849022994461</c:v>
                </c:pt>
                <c:pt idx="205">
                  <c:v>67.753765159520256</c:v>
                </c:pt>
                <c:pt idx="206">
                  <c:v>67.437769946213123</c:v>
                </c:pt>
                <c:pt idx="207">
                  <c:v>67.121867664873108</c:v>
                </c:pt>
                <c:pt idx="208">
                  <c:v>66.806062569831013</c:v>
                </c:pt>
                <c:pt idx="209">
                  <c:v>66.490358887869448</c:v>
                </c:pt>
                <c:pt idx="210">
                  <c:v>66.174760818146495</c:v>
                </c:pt>
                <c:pt idx="211">
                  <c:v>65.85927253212229</c:v>
                </c:pt>
                <c:pt idx="212">
                  <c:v>65.543898173487989</c:v>
                </c:pt>
                <c:pt idx="213">
                  <c:v>65.228641858097873</c:v>
                </c:pt>
                <c:pt idx="214">
                  <c:v>64.913507673903794</c:v>
                </c:pt>
                <c:pt idx="215">
                  <c:v>64.598499680892431</c:v>
                </c:pt>
                <c:pt idx="216">
                  <c:v>64.283621911025207</c:v>
                </c:pt>
                <c:pt idx="217">
                  <c:v>63.968878368180746</c:v>
                </c:pt>
                <c:pt idx="218">
                  <c:v>63.654273028100114</c:v>
                </c:pt>
                <c:pt idx="219">
                  <c:v>63.339809838334517</c:v>
                </c:pt>
                <c:pt idx="220">
                  <c:v>63.025492718195757</c:v>
                </c:pt>
                <c:pt idx="221">
                  <c:v>62.711325558709014</c:v>
                </c:pt>
                <c:pt idx="222">
                  <c:v>62.397312222568466</c:v>
                </c:pt>
                <c:pt idx="223">
                  <c:v>62.083456544095263</c:v>
                </c:pt>
                <c:pt idx="224">
                  <c:v>61.769762329198173</c:v>
                </c:pt>
                <c:pt idx="225">
                  <c:v>61.456233355336529</c:v>
                </c:pt>
                <c:pt idx="226">
                  <c:v>61.142873371486004</c:v>
                </c:pt>
                <c:pt idx="227">
                  <c:v>60.829686098106421</c:v>
                </c:pt>
                <c:pt idx="228">
                  <c:v>60.516675227112515</c:v>
                </c:pt>
                <c:pt idx="229">
                  <c:v>60.203844421846632</c:v>
                </c:pt>
                <c:pt idx="230">
                  <c:v>59.891197317054342</c:v>
                </c:pt>
                <c:pt idx="231">
                  <c:v>59.57873751886212</c:v>
                </c:pt>
                <c:pt idx="232">
                  <c:v>59.266468604757463</c:v>
                </c:pt>
                <c:pt idx="233">
                  <c:v>58.954394123571589</c:v>
                </c:pt>
                <c:pt idx="234">
                  <c:v>58.642517595464163</c:v>
                </c:pt>
                <c:pt idx="235">
                  <c:v>58.330842511910681</c:v>
                </c:pt>
                <c:pt idx="236">
                  <c:v>58.019372335691941</c:v>
                </c:pt>
                <c:pt idx="237">
                  <c:v>57.708110500885873</c:v>
                </c:pt>
                <c:pt idx="238">
                  <c:v>57.397060412861769</c:v>
                </c:pt>
                <c:pt idx="239">
                  <c:v>57.086225448276537</c:v>
                </c:pt>
                <c:pt idx="240">
                  <c:v>56.775608955073345</c:v>
                </c:pt>
                <c:pt idx="241">
                  <c:v>56.465214252482632</c:v>
                </c:pt>
                <c:pt idx="242">
                  <c:v>56.155044631024872</c:v>
                </c:pt>
                <c:pt idx="243">
                  <c:v>55.845103352516084</c:v>
                </c:pt>
                <c:pt idx="244">
                  <c:v>55.535393650075001</c:v>
                </c:pt>
                <c:pt idx="245">
                  <c:v>55.225918728132726</c:v>
                </c:pt>
                <c:pt idx="246">
                  <c:v>54.916681762444377</c:v>
                </c:pt>
                <c:pt idx="247">
                  <c:v>54.607685900102766</c:v>
                </c:pt>
                <c:pt idx="248">
                  <c:v>54.298934259554393</c:v>
                </c:pt>
                <c:pt idx="249">
                  <c:v>53.990429930617218</c:v>
                </c:pt>
                <c:pt idx="250">
                  <c:v>53.682175974500602</c:v>
                </c:pt>
                <c:pt idx="251">
                  <c:v>53.324096965838322</c:v>
                </c:pt>
                <c:pt idx="252">
                  <c:v>52.91622177355022</c:v>
                </c:pt>
                <c:pt idx="253">
                  <c:v>52.508702770953505</c:v>
                </c:pt>
                <c:pt idx="254">
                  <c:v>52.10154439186276</c:v>
                </c:pt>
                <c:pt idx="255">
                  <c:v>51.694751023122969</c:v>
                </c:pt>
                <c:pt idx="256">
                  <c:v>51.288327004665078</c:v>
                </c:pt>
                <c:pt idx="257">
                  <c:v>50.882276629565233</c:v>
                </c:pt>
                <c:pt idx="258">
                  <c:v>50.476604144107661</c:v>
                </c:pt>
                <c:pt idx="259">
                  <c:v>50.071313747851256</c:v>
                </c:pt>
                <c:pt idx="260">
                  <c:v>49.666409593699775</c:v>
                </c:pt>
                <c:pt idx="261">
                  <c:v>49.261895787975469</c:v>
                </c:pt>
                <c:pt idx="262">
                  <c:v>48.857776390496319</c:v>
                </c:pt>
                <c:pt idx="263">
                  <c:v>48.454055414656715</c:v>
                </c:pt>
                <c:pt idx="264">
                  <c:v>48.050736827511557</c:v>
                </c:pt>
                <c:pt idx="265">
                  <c:v>47.647824549863685</c:v>
                </c:pt>
                <c:pt idx="266">
                  <c:v>47.245322456354735</c:v>
                </c:pt>
                <c:pt idx="267">
                  <c:v>46.843234375559085</c:v>
                </c:pt>
                <c:pt idx="268">
                  <c:v>46.441564090081371</c:v>
                </c:pt>
                <c:pt idx="269">
                  <c:v>46.040315336656832</c:v>
                </c:pt>
                <c:pt idx="270">
                  <c:v>45.639491806255052</c:v>
                </c:pt>
                <c:pt idx="271">
                  <c:v>45.239097144186722</c:v>
                </c:pt>
                <c:pt idx="272">
                  <c:v>44.839134950213484</c:v>
                </c:pt>
                <c:pt idx="273">
                  <c:v>44.439608778660869</c:v>
                </c:pt>
                <c:pt idx="274">
                  <c:v>44.040522138534001</c:v>
                </c:pt>
                <c:pt idx="275">
                  <c:v>43.64187849363649</c:v>
                </c:pt>
                <c:pt idx="276">
                  <c:v>43.24368126269195</c:v>
                </c:pt>
                <c:pt idx="277">
                  <c:v>42.845933819468733</c:v>
                </c:pt>
                <c:pt idx="278">
                  <c:v>42.448639492906985</c:v>
                </c:pt>
                <c:pt idx="279">
                  <c:v>42.05180156724888</c:v>
                </c:pt>
                <c:pt idx="280">
                  <c:v>41.655423282171292</c:v>
                </c:pt>
                <c:pt idx="281">
                  <c:v>41.259507832921308</c:v>
                </c:pt>
                <c:pt idx="282">
                  <c:v>40.864058370454252</c:v>
                </c:pt>
                <c:pt idx="283">
                  <c:v>40.469078001574402</c:v>
                </c:pt>
                <c:pt idx="284">
                  <c:v>40.074569789078055</c:v>
                </c:pt>
                <c:pt idx="285">
                  <c:v>39.680536751899346</c:v>
                </c:pt>
                <c:pt idx="286">
                  <c:v>39.286981865258284</c:v>
                </c:pt>
                <c:pt idx="287">
                  <c:v>38.893908060811327</c:v>
                </c:pt>
                <c:pt idx="288">
                  <c:v>38.501318226804393</c:v>
                </c:pt>
                <c:pt idx="289">
                  <c:v>38.109215208227866</c:v>
                </c:pt>
                <c:pt idx="290">
                  <c:v>37.717601806974336</c:v>
                </c:pt>
                <c:pt idx="291">
                  <c:v>37.326480781998228</c:v>
                </c:pt>
                <c:pt idx="292">
                  <c:v>36.93585484947782</c:v>
                </c:pt>
                <c:pt idx="293">
                  <c:v>36.54572668297925</c:v>
                </c:pt>
                <c:pt idx="294">
                  <c:v>36.156098913622827</c:v>
                </c:pt>
                <c:pt idx="295">
                  <c:v>35.76697413025127</c:v>
                </c:pt>
                <c:pt idx="296">
                  <c:v>35.378354879599989</c:v>
                </c:pt>
                <c:pt idx="297">
                  <c:v>34.990243666469439</c:v>
                </c:pt>
                <c:pt idx="298">
                  <c:v>34.050303644285513</c:v>
                </c:pt>
                <c:pt idx="299">
                  <c:v>32.559074744869143</c:v>
                </c:pt>
                <c:pt idx="300">
                  <c:v>31.069852651372344</c:v>
                </c:pt>
                <c:pt idx="301">
                  <c:v>29.582670425061547</c:v>
                </c:pt>
                <c:pt idx="302">
                  <c:v>28.097560569650856</c:v>
                </c:pt>
                <c:pt idx="303">
                  <c:v>26.614555032277107</c:v>
                </c:pt>
                <c:pt idx="304">
                  <c:v>25.133685204576597</c:v>
                </c:pt>
                <c:pt idx="305">
                  <c:v>23.654981923862017</c:v>
                </c:pt>
                <c:pt idx="306">
                  <c:v>22.178475474397469</c:v>
                </c:pt>
                <c:pt idx="307">
                  <c:v>20.704195588769483</c:v>
                </c:pt>
                <c:pt idx="308">
                  <c:v>19.232171449352876</c:v>
                </c:pt>
                <c:pt idx="309">
                  <c:v>17.762431689869128</c:v>
                </c:pt>
                <c:pt idx="310">
                  <c:v>16.29500439703537</c:v>
                </c:pt>
                <c:pt idx="311">
                  <c:v>14.829917112302537</c:v>
                </c:pt>
                <c:pt idx="312">
                  <c:v>13.367196833680351</c:v>
                </c:pt>
                <c:pt idx="313">
                  <c:v>11.906870017647693</c:v>
                </c:pt>
                <c:pt idx="314">
                  <c:v>10.44896258114629</c:v>
                </c:pt>
                <c:pt idx="315">
                  <c:v>8.9934999036558079</c:v>
                </c:pt>
                <c:pt idx="316">
                  <c:v>7.5405068293486499</c:v>
                </c:pt>
                <c:pt idx="317">
                  <c:v>6.090007669322512</c:v>
                </c:pt>
                <c:pt idx="318">
                  <c:v>4.6420262039088831</c:v>
                </c:pt>
                <c:pt idx="319">
                  <c:v>3.1965856850554837</c:v>
                </c:pt>
                <c:pt idx="320">
                  <c:v>1.7537088387811368</c:v>
                </c:pt>
                <c:pt idx="321">
                  <c:v>0.53341754242770278</c:v>
                </c:pt>
                <c:pt idx="322">
                  <c:v>-0.46463287845387585</c:v>
                </c:pt>
                <c:pt idx="323">
                  <c:v>-1.4608784565913997</c:v>
                </c:pt>
                <c:pt idx="324">
                  <c:v>-2.4553112655421736</c:v>
                </c:pt>
                <c:pt idx="325">
                  <c:v>-3.4479236175085828</c:v>
                </c:pt>
                <c:pt idx="326">
                  <c:v>-4.4387080617100176</c:v>
                </c:pt>
                <c:pt idx="327">
                  <c:v>-5.4276573827405468</c:v>
                </c:pt>
                <c:pt idx="328">
                  <c:v>-6.4147645989130595</c:v>
                </c:pt>
                <c:pt idx="329">
                  <c:v>-7.4000229605904702</c:v>
                </c:pt>
                <c:pt idx="330">
                  <c:v>-8.3834259485044207</c:v>
                </c:pt>
                <c:pt idx="331">
                  <c:v>-9.3649672720623069</c:v>
                </c:pt>
                <c:pt idx="332">
                  <c:v>-10.344640867642799</c:v>
                </c:pt>
                <c:pt idx="333">
                  <c:v>-11.322440896880817</c:v>
                </c:pt>
                <c:pt idx="334">
                  <c:v>-12.298361744942218</c:v>
                </c:pt>
                <c:pt idx="335">
                  <c:v>-13.272398018788802</c:v>
                </c:pt>
                <c:pt idx="336">
                  <c:v>-14.244544545434309</c:v>
                </c:pt>
                <c:pt idx="337">
                  <c:v>-15.214796370191749</c:v>
                </c:pt>
                <c:pt idx="338">
                  <c:v>-16.183148754912736</c:v>
                </c:pt>
                <c:pt idx="339">
                  <c:v>-17.149597176219125</c:v>
                </c:pt>
                <c:pt idx="340">
                  <c:v>-18.114137323727775</c:v>
                </c:pt>
                <c:pt idx="341">
                  <c:v>-19.076765098268684</c:v>
                </c:pt>
                <c:pt idx="342">
                  <c:v>-20.037476610097116</c:v>
                </c:pt>
                <c:pt idx="343">
                  <c:v>-20.996268177100102</c:v>
                </c:pt>
                <c:pt idx="344">
                  <c:v>-21.953136322997974</c:v>
                </c:pt>
                <c:pt idx="345">
                  <c:v>-22.908077775541265</c:v>
                </c:pt>
                <c:pt idx="346">
                  <c:v>-23.861089464703475</c:v>
                </c:pt>
                <c:pt idx="347">
                  <c:v>-24.812168520870106</c:v>
                </c:pt>
                <c:pt idx="348">
                  <c:v>-25.737568173549878</c:v>
                </c:pt>
                <c:pt idx="349">
                  <c:v>-26.637337041174781</c:v>
                </c:pt>
                <c:pt idx="350">
                  <c:v>-27.535270923717423</c:v>
                </c:pt>
                <c:pt idx="351">
                  <c:v>-28.431368440420012</c:v>
                </c:pt>
                <c:pt idx="352">
                  <c:v>-29.325628380347897</c:v>
                </c:pt>
                <c:pt idx="353">
                  <c:v>-30.218049700738966</c:v>
                </c:pt>
                <c:pt idx="354">
                  <c:v>-31.108631525353822</c:v>
                </c:pt>
                <c:pt idx="355">
                  <c:v>-31.997373142826735</c:v>
                </c:pt>
                <c:pt idx="356">
                  <c:v>-32.884274005018042</c:v>
                </c:pt>
                <c:pt idx="357">
                  <c:v>-33.76933372536822</c:v>
                </c:pt>
                <c:pt idx="358">
                  <c:v>-34.652552077253759</c:v>
                </c:pt>
                <c:pt idx="359">
                  <c:v>-35.533928992345423</c:v>
                </c:pt>
                <c:pt idx="360">
                  <c:v>-35.919629365890785</c:v>
                </c:pt>
                <c:pt idx="361">
                  <c:v>-35.810799512748353</c:v>
                </c:pt>
                <c:pt idx="362">
                  <c:v>-35.702415668858343</c:v>
                </c:pt>
                <c:pt idx="363">
                  <c:v>-35.594475379157089</c:v>
                </c:pt>
                <c:pt idx="364">
                  <c:v>-35.486976205611221</c:v>
                </c:pt>
                <c:pt idx="365">
                  <c:v>-35.379915727075243</c:v>
                </c:pt>
                <c:pt idx="366">
                  <c:v>-35.273291539150591</c:v>
                </c:pt>
                <c:pt idx="367">
                  <c:v>-35.167101254046166</c:v>
                </c:pt>
                <c:pt idx="368">
                  <c:v>-35.061342500439913</c:v>
                </c:pt>
                <c:pt idx="369">
                  <c:v>-34.956012923342129</c:v>
                </c:pt>
                <c:pt idx="370">
                  <c:v>-34.851110183959797</c:v>
                </c:pt>
                <c:pt idx="371">
                  <c:v>-34.746631959562457</c:v>
                </c:pt>
                <c:pt idx="372">
                  <c:v>-34.642575943349215</c:v>
                </c:pt>
                <c:pt idx="373">
                  <c:v>-34.538939844317113</c:v>
                </c:pt>
                <c:pt idx="374">
                  <c:v>-34.435721387130755</c:v>
                </c:pt>
                <c:pt idx="375">
                  <c:v>-34.332918311993282</c:v>
                </c:pt>
                <c:pt idx="376">
                  <c:v>-34.23052837451835</c:v>
                </c:pt>
                <c:pt idx="377">
                  <c:v>-34.128549345603673</c:v>
                </c:pt>
                <c:pt idx="378">
                  <c:v>-34.026979011305464</c:v>
                </c:pt>
                <c:pt idx="379">
                  <c:v>-33.925815172714309</c:v>
                </c:pt>
                <c:pt idx="380">
                  <c:v>-33.825055645832073</c:v>
                </c:pt>
                <c:pt idx="381">
                  <c:v>-33.724698261450179</c:v>
                </c:pt>
                <c:pt idx="382">
                  <c:v>-33.624740865028777</c:v>
                </c:pt>
                <c:pt idx="383">
                  <c:v>-33.52518131657731</c:v>
                </c:pt>
                <c:pt idx="384">
                  <c:v>-33.426017490536132</c:v>
                </c:pt>
                <c:pt idx="385">
                  <c:v>-33.32724727565919</c:v>
                </c:pt>
                <c:pt idx="386">
                  <c:v>-33.228868574897909</c:v>
                </c:pt>
                <c:pt idx="387">
                  <c:v>-33.130879305286115</c:v>
                </c:pt>
                <c:pt idx="388">
                  <c:v>-33.033277397826168</c:v>
                </c:pt>
                <c:pt idx="389">
                  <c:v>-32.936060797375994</c:v>
                </c:pt>
                <c:pt idx="390">
                  <c:v>-32.839227462537288</c:v>
                </c:pt>
                <c:pt idx="391">
                  <c:v>-32.742775365544837</c:v>
                </c:pt>
                <c:pt idx="392">
                  <c:v>-32.64670249215672</c:v>
                </c:pt>
                <c:pt idx="393">
                  <c:v>-32.551006841545636</c:v>
                </c:pt>
                <c:pt idx="394">
                  <c:v>-32.455686426191377</c:v>
                </c:pt>
                <c:pt idx="395">
                  <c:v>-32.36073927177398</c:v>
                </c:pt>
                <c:pt idx="396">
                  <c:v>-32.266163417068256</c:v>
                </c:pt>
                <c:pt idx="397">
                  <c:v>-32.171956913839026</c:v>
                </c:pt>
                <c:pt idx="398">
                  <c:v>-32.07811782673754</c:v>
                </c:pt>
                <c:pt idx="399">
                  <c:v>-31.98464423319863</c:v>
                </c:pt>
                <c:pt idx="400">
                  <c:v>-31.89153422333915</c:v>
                </c:pt>
                <c:pt idx="401">
                  <c:v>-31.798785899856959</c:v>
                </c:pt>
                <c:pt idx="402">
                  <c:v>-30.882752511471047</c:v>
                </c:pt>
                <c:pt idx="403">
                  <c:v>-30.0016098831662</c:v>
                </c:pt>
                <c:pt idx="404">
                  <c:v>-29.153592541450145</c:v>
                </c:pt>
                <c:pt idx="405">
                  <c:v>-28.337046525898113</c:v>
                </c:pt>
                <c:pt idx="406">
                  <c:v>-27.550420987194194</c:v>
                </c:pt>
                <c:pt idx="407">
                  <c:v>-26.792260518175411</c:v>
                </c:pt>
                <c:pt idx="408">
                  <c:v>-26.061198145423546</c:v>
                </c:pt>
                <c:pt idx="409">
                  <c:v>-25.355948916932693</c:v>
                </c:pt>
                <c:pt idx="410">
                  <c:v>-24.675304028394816</c:v>
                </c:pt>
                <c:pt idx="411">
                  <c:v>-24.018125436820821</c:v>
                </c:pt>
                <c:pt idx="412">
                  <c:v>-23.383340915658902</c:v>
                </c:pt>
                <c:pt idx="413">
                  <c:v>-22.769939510380205</c:v>
                </c:pt>
                <c:pt idx="414">
                  <c:v>-22.176967357754865</c:v>
                </c:pt>
                <c:pt idx="415">
                  <c:v>-21.603523835808659</c:v>
                </c:pt>
                <c:pt idx="416">
                  <c:v>-21.048758014793528</c:v>
                </c:pt>
                <c:pt idx="417">
                  <c:v>-20.511865382474308</c:v>
                </c:pt>
                <c:pt idx="418">
                  <c:v>-19.992084819677075</c:v>
                </c:pt>
                <c:pt idx="419">
                  <c:v>-19.48869580439785</c:v>
                </c:pt>
                <c:pt idx="420">
                  <c:v>-19.001015824871502</c:v>
                </c:pt>
                <c:pt idx="421">
                  <c:v>-18.528397983876463</c:v>
                </c:pt>
                <c:pt idx="422">
                  <c:v>-18.070228778229719</c:v>
                </c:pt>
                <c:pt idx="423">
                  <c:v>-17.625926038929467</c:v>
                </c:pt>
                <c:pt idx="424">
                  <c:v>-17.194937018750934</c:v>
                </c:pt>
                <c:pt idx="425">
                  <c:v>-16.776736615311179</c:v>
                </c:pt>
                <c:pt idx="426">
                  <c:v>-16.370825718706502</c:v>
                </c:pt>
                <c:pt idx="427">
                  <c:v>-15.976729673805066</c:v>
                </c:pt>
                <c:pt idx="428">
                  <c:v>-15.593996848159316</c:v>
                </c:pt>
                <c:pt idx="429">
                  <c:v>-15.222197297298518</c:v>
                </c:pt>
                <c:pt idx="430">
                  <c:v>-14.860921519879504</c:v>
                </c:pt>
                <c:pt idx="431">
                  <c:v>-14.509779295823483</c:v>
                </c:pt>
                <c:pt idx="432">
                  <c:v>-14.168398601153688</c:v>
                </c:pt>
                <c:pt idx="433">
                  <c:v>-13.836424593780899</c:v>
                </c:pt>
                <c:pt idx="434">
                  <c:v>-13.513518664966066</c:v>
                </c:pt>
                <c:pt idx="435">
                  <c:v>-13.199357551627099</c:v>
                </c:pt>
                <c:pt idx="436">
                  <c:v>-12.89363250505432</c:v>
                </c:pt>
                <c:pt idx="437">
                  <c:v>-12.596048511960607</c:v>
                </c:pt>
                <c:pt idx="438">
                  <c:v>-12.306323564121413</c:v>
                </c:pt>
                <c:pt idx="439">
                  <c:v>-12.024187973159188</c:v>
                </c:pt>
                <c:pt idx="440">
                  <c:v>-11.749383727300202</c:v>
                </c:pt>
                <c:pt idx="441">
                  <c:v>-11.481663887180945</c:v>
                </c:pt>
                <c:pt idx="442">
                  <c:v>-11.220792018008774</c:v>
                </c:pt>
                <c:pt idx="443">
                  <c:v>-10.966541655589925</c:v>
                </c:pt>
                <c:pt idx="444">
                  <c:v>-10.718695803927906</c:v>
                </c:pt>
                <c:pt idx="445">
                  <c:v>-10.477046462269836</c:v>
                </c:pt>
                <c:pt idx="446">
                  <c:v>-10.241394179637892</c:v>
                </c:pt>
                <c:pt idx="447">
                  <c:v>-10.01154763502935</c:v>
                </c:pt>
                <c:pt idx="448">
                  <c:v>-9.787323241603028</c:v>
                </c:pt>
                <c:pt idx="449">
                  <c:v>-9.568544773293441</c:v>
                </c:pt>
                <c:pt idx="450">
                  <c:v>-9.35504301240716</c:v>
                </c:pt>
                <c:pt idx="451">
                  <c:v>-9.1466554168602823</c:v>
                </c:pt>
                <c:pt idx="452">
                  <c:v>-8.9432258058117302</c:v>
                </c:pt>
                <c:pt idx="453">
                  <c:v>-8.7446040625356218</c:v>
                </c:pt>
                <c:pt idx="454">
                  <c:v>-8.5506458534572314</c:v>
                </c:pt>
                <c:pt idx="455">
                  <c:v>-8.3612123623522869</c:v>
                </c:pt>
                <c:pt idx="456">
                  <c:v>-8.176170038778551</c:v>
                </c:pt>
                <c:pt idx="457">
                  <c:v>-7.9953903598728431</c:v>
                </c:pt>
                <c:pt idx="458">
                  <c:v>-7.8187496047053937</c:v>
                </c:pt>
                <c:pt idx="459">
                  <c:v>-7.6461286404386355</c:v>
                </c:pt>
                <c:pt idx="460">
                  <c:v>-7.4774127195876527</c:v>
                </c:pt>
                <c:pt idx="461">
                  <c:v>-7.312491287726643</c:v>
                </c:pt>
                <c:pt idx="462">
                  <c:v>-7.1512578010289438</c:v>
                </c:pt>
                <c:pt idx="463">
                  <c:v>-6.9936095530685911</c:v>
                </c:pt>
                <c:pt idx="464">
                  <c:v>-6.8394475103484043</c:v>
                </c:pt>
                <c:pt idx="465">
                  <c:v>-6.6886761560544636</c:v>
                </c:pt>
                <c:pt idx="466">
                  <c:v>-6.5412033415687683</c:v>
                </c:pt>
                <c:pt idx="467">
                  <c:v>-6.3969401453018309</c:v>
                </c:pt>
                <c:pt idx="468">
                  <c:v>-6.2558007384346865</c:v>
                </c:pt>
                <c:pt idx="469">
                  <c:v>-6.1177022571855462</c:v>
                </c:pt>
                <c:pt idx="470">
                  <c:v>-5.9825646812403805</c:v>
                </c:pt>
                <c:pt idx="471">
                  <c:v>-5.8503107180090979</c:v>
                </c:pt>
                <c:pt idx="472">
                  <c:v>-5.720865692389709</c:v>
                </c:pt>
                <c:pt idx="473">
                  <c:v>-5.5941574417423539</c:v>
                </c:pt>
                <c:pt idx="474">
                  <c:v>-5.4701162157931646</c:v>
                </c:pt>
                <c:pt idx="475">
                  <c:v>-5.3486745812047385</c:v>
                </c:pt>
                <c:pt idx="476">
                  <c:v>-5.2297673305658279</c:v>
                </c:pt>
                <c:pt idx="477">
                  <c:v>-5.1133313955675055</c:v>
                </c:pt>
                <c:pt idx="478">
                  <c:v>-4.9993057641469063</c:v>
                </c:pt>
                <c:pt idx="479">
                  <c:v>-4.8876314013923077</c:v>
                </c:pt>
                <c:pt idx="480">
                  <c:v>-4.7782511740155398</c:v>
                </c:pt>
                <c:pt idx="481">
                  <c:v>-4.6711097782088125</c:v>
                </c:pt>
                <c:pt idx="482">
                  <c:v>-4.5661536707135602</c:v>
                </c:pt>
                <c:pt idx="483">
                  <c:v>-4.4633310029388893</c:v>
                </c:pt>
                <c:pt idx="484">
                  <c:v>-4.3625915579762449</c:v>
                </c:pt>
                <c:pt idx="485">
                  <c:v>-4.2638866903657711</c:v>
                </c:pt>
                <c:pt idx="486">
                  <c:v>-4.1671692684777053</c:v>
                </c:pt>
                <c:pt idx="487">
                  <c:v>-4.072393619380029</c:v>
                </c:pt>
                <c:pt idx="488">
                  <c:v>-3.9795154760704765</c:v>
                </c:pt>
                <c:pt idx="489">
                  <c:v>-3.8884919269578622</c:v>
                </c:pt>
                <c:pt idx="490">
                  <c:v>-3.7992813674839447</c:v>
                </c:pt>
                <c:pt idx="491">
                  <c:v>-3.7118434537829073</c:v>
                </c:pt>
                <c:pt idx="492">
                  <c:v>-3.6261390582811335</c:v>
                </c:pt>
                <c:pt idx="493">
                  <c:v>-3.5421302271452202</c:v>
                </c:pt>
                <c:pt idx="494">
                  <c:v>-3.4597801394909515</c:v>
                </c:pt>
                <c:pt idx="495">
                  <c:v>-3.3790530682707565</c:v>
                </c:pt>
                <c:pt idx="496">
                  <c:v>-3.2999143427613657</c:v>
                </c:pt>
                <c:pt idx="497">
                  <c:v>-3.2223303125775971</c:v>
                </c:pt>
                <c:pt idx="498">
                  <c:v>-3.1462683131419831</c:v>
                </c:pt>
                <c:pt idx="499">
                  <c:v>-3.0716966325436554</c:v>
                </c:pt>
                <c:pt idx="500">
                  <c:v>-2.998584479723267</c:v>
                </c:pt>
                <c:pt idx="501">
                  <c:v>-2.9269019539240273</c:v>
                </c:pt>
                <c:pt idx="502">
                  <c:v>-2.8566200153519348</c:v>
                </c:pt>
                <c:pt idx="503">
                  <c:v>-2.787710456991201</c:v>
                </c:pt>
                <c:pt idx="504">
                  <c:v>-2.7201458775235476</c:v>
                </c:pt>
                <c:pt idx="505">
                  <c:v>-2.6538996553026526</c:v>
                </c:pt>
                <c:pt idx="506">
                  <c:v>-2.5889459233374446</c:v>
                </c:pt>
                <c:pt idx="507">
                  <c:v>-2.5252595452402011</c:v>
                </c:pt>
                <c:pt idx="508">
                  <c:v>-2.462816092097635</c:v>
                </c:pt>
                <c:pt idx="509">
                  <c:v>-2.4015918202251298</c:v>
                </c:pt>
                <c:pt idx="510">
                  <c:v>-2.3415636497662868</c:v>
                </c:pt>
                <c:pt idx="511">
                  <c:v>-2.2827091441017364</c:v>
                </c:pt>
                <c:pt idx="512">
                  <c:v>-2.2250064900329174</c:v>
                </c:pt>
                <c:pt idx="513">
                  <c:v>-2.1684344787081589</c:v>
                </c:pt>
                <c:pt idx="514">
                  <c:v>-2.1129724872599911</c:v>
                </c:pt>
                <c:pt idx="515">
                  <c:v>-2.0586004611240174</c:v>
                </c:pt>
                <c:pt idx="516">
                  <c:v>-2.0052988970111585</c:v>
                </c:pt>
                <c:pt idx="517">
                  <c:v>-1.9530488265063064</c:v>
                </c:pt>
                <c:pt idx="518">
                  <c:v>-1.9018318002677914</c:v>
                </c:pt>
                <c:pt idx="519">
                  <c:v>-1.8516298728031457</c:v>
                </c:pt>
                <c:pt idx="520">
                  <c:v>-1.8024255877978475</c:v>
                </c:pt>
                <c:pt idx="521">
                  <c:v>-1.7542019639747806</c:v>
                </c:pt>
                <c:pt idx="522">
                  <c:v>-1.7069424814631375</c:v>
                </c:pt>
                <c:pt idx="523">
                  <c:v>-1.6606310686564869</c:v>
                </c:pt>
                <c:pt idx="524">
                  <c:v>-1.6152520895406348</c:v>
                </c:pt>
                <c:pt idx="525">
                  <c:v>-1.5707903314727518</c:v>
                </c:pt>
                <c:pt idx="526">
                  <c:v>-1.5272309933941053</c:v>
                </c:pt>
                <c:pt idx="527">
                  <c:v>-1.4845596744594827</c:v>
                </c:pt>
                <c:pt idx="528">
                  <c:v>-1.4427623630671527</c:v>
                </c:pt>
                <c:pt idx="529">
                  <c:v>-1.4018254262739176</c:v>
                </c:pt>
                <c:pt idx="530">
                  <c:v>-1.3617355995804741</c:v>
                </c:pt>
                <c:pt idx="531">
                  <c:v>-1.3224799770729427</c:v>
                </c:pt>
                <c:pt idx="532">
                  <c:v>-1.2840460019070279</c:v>
                </c:pt>
                <c:pt idx="533">
                  <c:v>-1.2464214571218564</c:v>
                </c:pt>
                <c:pt idx="534">
                  <c:v>-1.2095944567710648</c:v>
                </c:pt>
                <c:pt idx="535">
                  <c:v>-1.1735534373592575</c:v>
                </c:pt>
                <c:pt idx="536">
                  <c:v>-1.1382871495724149</c:v>
                </c:pt>
                <c:pt idx="537">
                  <c:v>-1.1037846502913291</c:v>
                </c:pt>
                <c:pt idx="538">
                  <c:v>-1.0700352948775596</c:v>
                </c:pt>
                <c:pt idx="539">
                  <c:v>-1.0370287297218448</c:v>
                </c:pt>
                <c:pt idx="540">
                  <c:v>-1.0047548850452876</c:v>
                </c:pt>
                <c:pt idx="541">
                  <c:v>-0.97320396794400954</c:v>
                </c:pt>
                <c:pt idx="542">
                  <c:v>-0.94236645566832833</c:v>
                </c:pt>
                <c:pt idx="543">
                  <c:v>-0.91223308912784629</c:v>
                </c:pt>
                <c:pt idx="544">
                  <c:v>-0.88279486661415041</c:v>
                </c:pt>
                <c:pt idx="545">
                  <c:v>-0.85404303773311541</c:v>
                </c:pt>
                <c:pt idx="546">
                  <c:v>-0.8259690975390872</c:v>
                </c:pt>
                <c:pt idx="547">
                  <c:v>-0.7985647808634766</c:v>
                </c:pt>
                <c:pt idx="548">
                  <c:v>-0.77182205683052418</c:v>
                </c:pt>
                <c:pt idx="549">
                  <c:v>-0.74573312355323729</c:v>
                </c:pt>
                <c:pt idx="550">
                  <c:v>-0.72029040300267599</c:v>
                </c:pt>
                <c:pt idx="551">
                  <c:v>-0.69548653604397115</c:v>
                </c:pt>
                <c:pt idx="552">
                  <c:v>-0.67131437763260471</c:v>
                </c:pt>
                <c:pt idx="553">
                  <c:v>-0.64776699216463729</c:v>
                </c:pt>
                <c:pt idx="554">
                  <c:v>-0.62483764897468208</c:v>
                </c:pt>
                <c:pt idx="555">
                  <c:v>-0.60251981797553866</c:v>
                </c:pt>
                <c:pt idx="556">
                  <c:v>-0.58080716543346844</c:v>
                </c:pt>
                <c:pt idx="557">
                  <c:v>-0.55969354987316289</c:v>
                </c:pt>
                <c:pt idx="558">
                  <c:v>-0.53917301810648477</c:v>
                </c:pt>
                <c:pt idx="559">
                  <c:v>-0.51923980137907089</c:v>
                </c:pt>
                <c:pt idx="560">
                  <c:v>-0.49988831162886893</c:v>
                </c:pt>
                <c:pt idx="561">
                  <c:v>-0.4811131378506342</c:v>
                </c:pt>
                <c:pt idx="562">
                  <c:v>-0.46290904256033416</c:v>
                </c:pt>
                <c:pt idx="563">
                  <c:v>-0.44527095835329494</c:v>
                </c:pt>
                <c:pt idx="564">
                  <c:v>-0.4281939845497888</c:v>
                </c:pt>
                <c:pt idx="565">
                  <c:v>-0.41167338392156816</c:v>
                </c:pt>
                <c:pt idx="566">
                  <c:v>-0.39570457949263771</c:v>
                </c:pt>
                <c:pt idx="567">
                  <c:v>-0.3802831514072908</c:v>
                </c:pt>
                <c:pt idx="568">
                  <c:v>-0.36540483385813272</c:v>
                </c:pt>
                <c:pt idx="569">
                  <c:v>-0.35106551206645598</c:v>
                </c:pt>
                <c:pt idx="570">
                  <c:v>-0.33726121930694136</c:v>
                </c:pt>
                <c:pt idx="571">
                  <c:v>-0.32398813396821108</c:v>
                </c:pt>
                <c:pt idx="572">
                  <c:v>-0.31124257664027338</c:v>
                </c:pt>
                <c:pt idx="573">
                  <c:v>-0.29902100721935976</c:v>
                </c:pt>
                <c:pt idx="574">
                  <c:v>-0.28732002202009616</c:v>
                </c:pt>
                <c:pt idx="575">
                  <c:v>-0.27613635088433786</c:v>
                </c:pt>
                <c:pt idx="576">
                  <c:v>-0.26546685427538397</c:v>
                </c:pt>
                <c:pt idx="577">
                  <c:v>-0.25530852034566193</c:v>
                </c:pt>
                <c:pt idx="578">
                  <c:v>-0.24565846196536001</c:v>
                </c:pt>
                <c:pt idx="579">
                  <c:v>-0.236513913698921</c:v>
                </c:pt>
                <c:pt idx="580">
                  <c:v>-0.22787222871581625</c:v>
                </c:pt>
                <c:pt idx="581">
                  <c:v>-0.21973087562163843</c:v>
                </c:pt>
                <c:pt idx="582">
                  <c:v>-0.2120874351953346</c:v>
                </c:pt>
                <c:pt idx="583">
                  <c:v>-0.20493959701839581</c:v>
                </c:pt>
                <c:pt idx="584">
                  <c:v>-0.1982851559820957</c:v>
                </c:pt>
                <c:pt idx="585">
                  <c:v>-0.19212200865947987</c:v>
                </c:pt>
                <c:pt idx="586">
                  <c:v>-0.18644814952983052</c:v>
                </c:pt>
                <c:pt idx="587">
                  <c:v>-0.18126166704481578</c:v>
                </c:pt>
                <c:pt idx="588">
                  <c:v>-0.17656073952754531</c:v>
                </c:pt>
                <c:pt idx="589">
                  <c:v>-0.17234363089831709</c:v>
                </c:pt>
                <c:pt idx="590">
                  <c:v>-0.16860868622397959</c:v>
                </c:pt>
                <c:pt idx="591">
                  <c:v>-0.16535432709152181</c:v>
                </c:pt>
                <c:pt idx="592">
                  <c:v>-0.16257904681067903</c:v>
                </c:pt>
                <c:pt idx="593">
                  <c:v>-0.16028140545491415</c:v>
                </c:pt>
                <c:pt idx="594">
                  <c:v>-0.15846002475493576</c:v>
                </c:pt>
                <c:pt idx="595">
                  <c:v>-0.15711358286377702</c:v>
                </c:pt>
                <c:pt idx="596">
                  <c:v>-0.15624080901713491</c:v>
                </c:pt>
                <c:pt idx="597">
                  <c:v>-0.1558404781169466</c:v>
                </c:pt>
                <c:pt idx="598">
                  <c:v>-0.15591140526978514</c:v>
                </c:pt>
                <c:pt idx="599">
                  <c:v>-0.1564524403144083</c:v>
                </c:pt>
                <c:pt idx="600">
                  <c:v>-0.15746246237448547</c:v>
                </c:pt>
                <c:pt idx="601">
                  <c:v>-0.15894037447307915</c:v>
                </c:pt>
                <c:pt idx="602">
                  <c:v>-0.16088509824480665</c:v>
                </c:pt>
                <c:pt idx="603">
                  <c:v>-0.16329556877982171</c:v>
                </c:pt>
                <c:pt idx="604">
                  <c:v>-0.16617072963093557</c:v>
                </c:pt>
                <c:pt idx="605">
                  <c:v>-0.16950952801152908</c:v>
                </c:pt>
                <c:pt idx="606">
                  <c:v>-0.17331091020761444</c:v>
                </c:pt>
                <c:pt idx="607">
                  <c:v>-0.17757381722272289</c:v>
                </c:pt>
                <c:pt idx="608">
                  <c:v>-0.18229718066947331</c:v>
                </c:pt>
                <c:pt idx="609">
                  <c:v>-0.18747991891692833</c:v>
                </c:pt>
                <c:pt idx="610">
                  <c:v>-0.19312093349836176</c:v>
                </c:pt>
                <c:pt idx="611">
                  <c:v>-0.19921910577999133</c:v>
                </c:pt>
                <c:pt idx="612">
                  <c:v>-0.20577329388766211</c:v>
                </c:pt>
                <c:pt idx="613">
                  <c:v>-0.21278232988546456</c:v>
                </c:pt>
                <c:pt idx="614">
                  <c:v>-0.22024501719784489</c:v>
                </c:pt>
                <c:pt idx="615">
                  <c:v>-0.22816012826490209</c:v>
                </c:pt>
                <c:pt idx="616">
                  <c:v>-0.23652640241922498</c:v>
                </c:pt>
                <c:pt idx="617">
                  <c:v>-0.2453425439717444</c:v>
                </c:pt>
                <c:pt idx="618">
                  <c:v>-0.25460722049360757</c:v>
                </c:pt>
                <c:pt idx="619">
                  <c:v>-0.26431906128094279</c:v>
                </c:pt>
                <c:pt idx="620">
                  <c:v>-0.27447665598951654</c:v>
                </c:pt>
                <c:pt idx="621">
                  <c:v>-0.28507855342663341</c:v>
                </c:pt>
                <c:pt idx="622">
                  <c:v>-0.29612326048812909</c:v>
                </c:pt>
                <c:pt idx="623">
                  <c:v>-0.30760924122891642</c:v>
                </c:pt>
                <c:pt idx="624">
                  <c:v>-0.31953491605623174</c:v>
                </c:pt>
                <c:pt idx="625">
                  <c:v>-0.33189866103544463</c:v>
                </c:pt>
                <c:pt idx="626">
                  <c:v>-0.34469880729903202</c:v>
                </c:pt>
                <c:pt idx="627">
                  <c:v>-0.35793364055004656</c:v>
                </c:pt>
                <c:pt idx="628">
                  <c:v>-0.37160140065211805</c:v>
                </c:pt>
                <c:pt idx="629">
                  <c:v>-0.38570028129870332</c:v>
                </c:pt>
                <c:pt idx="630">
                  <c:v>-0.40022842975494927</c:v>
                </c:pt>
                <c:pt idx="631">
                  <c:v>-0.41518394666612468</c:v>
                </c:pt>
                <c:pt idx="632">
                  <c:v>-0.43056488592714653</c:v>
                </c:pt>
                <c:pt idx="633">
                  <c:v>-0.44636925460822613</c:v>
                </c:pt>
                <c:pt idx="634">
                  <c:v>-0.46259501293215038</c:v>
                </c:pt>
                <c:pt idx="635">
                  <c:v>-0.47924007429912813</c:v>
                </c:pt>
                <c:pt idx="636">
                  <c:v>-0.49630230535553038</c:v>
                </c:pt>
                <c:pt idx="637">
                  <c:v>-0.51377952610320743</c:v>
                </c:pt>
                <c:pt idx="638">
                  <c:v>-0.53166951004638763</c:v>
                </c:pt>
                <c:pt idx="639">
                  <c:v>-0.54996998437344224</c:v>
                </c:pt>
                <c:pt idx="640">
                  <c:v>-0.56867863017107445</c:v>
                </c:pt>
                <c:pt idx="641">
                  <c:v>-0.58779308266871244</c:v>
                </c:pt>
                <c:pt idx="642">
                  <c:v>-0.60731093151110194</c:v>
                </c:pt>
                <c:pt idx="643">
                  <c:v>-0.62722972105727659</c:v>
                </c:pt>
                <c:pt idx="644">
                  <c:v>-0.64754695070425861</c:v>
                </c:pt>
                <c:pt idx="645">
                  <c:v>-0.6682600752339859</c:v>
                </c:pt>
                <c:pt idx="646">
                  <c:v>-0.68936650518210052</c:v>
                </c:pt>
                <c:pt idx="647">
                  <c:v>-0.71086360722735065</c:v>
                </c:pt>
                <c:pt idx="648">
                  <c:v>-0.73274870460047248</c:v>
                </c:pt>
                <c:pt idx="649">
                  <c:v>-0.75501907751149799</c:v>
                </c:pt>
                <c:pt idx="650">
                  <c:v>-0.77767196359454682</c:v>
                </c:pt>
                <c:pt idx="651">
                  <c:v>-0.80070455836920751</c:v>
                </c:pt>
                <c:pt idx="652">
                  <c:v>-0.82411401571770471</c:v>
                </c:pt>
                <c:pt idx="653">
                  <c:v>-0.84789744837709913</c:v>
                </c:pt>
                <c:pt idx="654">
                  <c:v>-0.8720519284458248</c:v>
                </c:pt>
                <c:pt idx="655">
                  <c:v>-0.8965744879039157</c:v>
                </c:pt>
                <c:pt idx="656">
                  <c:v>-0.92146211914631704</c:v>
                </c:pt>
                <c:pt idx="657">
                  <c:v>-0.94671177552872221</c:v>
                </c:pt>
                <c:pt idx="658">
                  <c:v>-0.97232037192540133</c:v>
                </c:pt>
                <c:pt idx="659">
                  <c:v>-0.9982847852985236</c:v>
                </c:pt>
                <c:pt idx="660">
                  <c:v>-1.024601855278505</c:v>
                </c:pt>
                <c:pt idx="661">
                  <c:v>-1.0512683847549344</c:v>
                </c:pt>
                <c:pt idx="662">
                  <c:v>-1.0782811404776607</c:v>
                </c:pt>
                <c:pt idx="663">
                  <c:v>-1.1056368536676273</c:v>
                </c:pt>
                <c:pt idx="664">
                  <c:v>-1.1333322206370831</c:v>
                </c:pt>
                <c:pt idx="665">
                  <c:v>-1.1613639034187841</c:v>
                </c:pt>
                <c:pt idx="666">
                  <c:v>-1.1897285304038523</c:v>
                </c:pt>
                <c:pt idx="667">
                  <c:v>-1.218422696987923</c:v>
                </c:pt>
                <c:pt idx="668">
                  <c:v>-1.2474429662252806</c:v>
                </c:pt>
                <c:pt idx="669">
                  <c:v>-1.2767858694906391</c:v>
                </c:pt>
                <c:pt idx="670">
                  <c:v>-1.3064479071482562</c:v>
                </c:pt>
                <c:pt idx="671">
                  <c:v>-1.3364255492281045</c:v>
                </c:pt>
                <c:pt idx="672">
                  <c:v>-1.3667152361087664</c:v>
                </c:pt>
                <c:pt idx="673">
                  <c:v>-1.397313379206792</c:v>
                </c:pt>
                <c:pt idx="674">
                  <c:v>-1.4282163616722239</c:v>
                </c:pt>
                <c:pt idx="675">
                  <c:v>-1.4594205390900146</c:v>
                </c:pt>
                <c:pt idx="676">
                  <c:v>-1.490922240187059</c:v>
                </c:pt>
                <c:pt idx="677">
                  <c:v>-1.5227177675445727</c:v>
                </c:pt>
                <c:pt idx="678">
                  <c:v>-1.5548033983155587</c:v>
                </c:pt>
                <c:pt idx="679">
                  <c:v>-1.5871753849470824</c:v>
                </c:pt>
                <c:pt idx="680">
                  <c:v>-1.6198299559071201</c:v>
                </c:pt>
                <c:pt idx="681">
                  <c:v>-1.6527633164156927</c:v>
                </c:pt>
                <c:pt idx="682">
                  <c:v>-1.685971649180058</c:v>
                </c:pt>
                <c:pt idx="683">
                  <c:v>-1.7194511151336955</c:v>
                </c:pt>
                <c:pt idx="684">
                  <c:v>-1.753197854178832</c:v>
                </c:pt>
                <c:pt idx="685">
                  <c:v>-1.7872079859322607</c:v>
                </c:pt>
                <c:pt idx="686">
                  <c:v>-1.8214776104742143</c:v>
                </c:pt>
                <c:pt idx="687">
                  <c:v>-1.8560028091000274</c:v>
                </c:pt>
                <c:pt idx="688">
                  <c:v>-1.890779645074371</c:v>
                </c:pt>
                <c:pt idx="689">
                  <c:v>-1.9258041643877823</c:v>
                </c:pt>
                <c:pt idx="690">
                  <c:v>-1.9610723965152779</c:v>
                </c:pt>
                <c:pt idx="691">
                  <c:v>-1.9965803551767902</c:v>
                </c:pt>
                <c:pt idx="692">
                  <c:v>-2.032324039099191</c:v>
                </c:pt>
                <c:pt idx="693">
                  <c:v>-2.0682994327796749</c:v>
                </c:pt>
                <c:pt idx="694">
                  <c:v>-2.1045025072502339</c:v>
                </c:pt>
                <c:pt idx="695">
                  <c:v>-2.1409292208430291</c:v>
                </c:pt>
                <c:pt idx="696">
                  <c:v>-2.1775755199563833</c:v>
                </c:pt>
                <c:pt idx="697">
                  <c:v>-2.2144373398211843</c:v>
                </c:pt>
                <c:pt idx="698">
                  <c:v>-2.251510605267447</c:v>
                </c:pt>
                <c:pt idx="699">
                  <c:v>-2.2887912314908214</c:v>
                </c:pt>
                <c:pt idx="700">
                  <c:v>-2.3262751248187929</c:v>
                </c:pt>
                <c:pt idx="701">
                  <c:v>-2.3639581834763539</c:v>
                </c:pt>
                <c:pt idx="702">
                  <c:v>-2.4018362983509189</c:v>
                </c:pt>
                <c:pt idx="703">
                  <c:v>-2.4399053537562474</c:v>
                </c:pt>
                <c:pt idx="704">
                  <c:v>-2.4781612281951508</c:v>
                </c:pt>
                <c:pt idx="705">
                  <c:v>-2.516599795120753</c:v>
                </c:pt>
                <c:pt idx="706">
                  <c:v>-2.5552169236960833</c:v>
                </c:pt>
                <c:pt idx="707">
                  <c:v>-2.5940084795517722</c:v>
                </c:pt>
                <c:pt idx="708">
                  <c:v>-2.632970325541633</c:v>
                </c:pt>
                <c:pt idx="709">
                  <c:v>-2.6720983224959114</c:v>
                </c:pt>
                <c:pt idx="710">
                  <c:v>-2.7113883299719559</c:v>
                </c:pt>
                <c:pt idx="711">
                  <c:v>-2.7508362070021426</c:v>
                </c:pt>
                <c:pt idx="712">
                  <c:v>-2.790437812838781</c:v>
                </c:pt>
                <c:pt idx="713">
                  <c:v>-2.83018900769583</c:v>
                </c:pt>
                <c:pt idx="714">
                  <c:v>-2.8700856534871861</c:v>
                </c:pt>
                <c:pt idx="715">
                  <c:v>-2.9101236145613343</c:v>
                </c:pt>
                <c:pt idx="716">
                  <c:v>-2.9502987584321794</c:v>
                </c:pt>
                <c:pt idx="717">
                  <c:v>-2.9906069565058084</c:v>
                </c:pt>
                <c:pt idx="718">
                  <c:v>-3.0310440848030193</c:v>
                </c:pt>
                <c:pt idx="719">
                  <c:v>-3.071606024677374</c:v>
                </c:pt>
                <c:pt idx="720">
                  <c:v>-3.1122886635286235</c:v>
                </c:pt>
                <c:pt idx="721">
                  <c:v>-3.1530878955112636</c:v>
                </c:pt>
                <c:pt idx="722">
                  <c:v>-3.1939996222380467</c:v>
                </c:pt>
                <c:pt idx="723">
                  <c:v>-3.2350197534782517</c:v>
                </c:pt>
                <c:pt idx="724">
                  <c:v>-3.2761442078505292</c:v>
                </c:pt>
                <c:pt idx="725">
                  <c:v>-3.3173689135101276</c:v>
                </c:pt>
                <c:pt idx="726">
                  <c:v>-3.3586898088303112</c:v>
                </c:pt>
                <c:pt idx="727">
                  <c:v>-3.4001028430777942</c:v>
                </c:pt>
                <c:pt idx="728">
                  <c:v>-3.4416039770820248</c:v>
                </c:pt>
                <c:pt idx="729">
                  <c:v>-3.4831891838981055</c:v>
                </c:pt>
                <c:pt idx="730">
                  <c:v>-3.5248544494632306</c:v>
                </c:pt>
                <c:pt idx="731">
                  <c:v>-3.5665957732464109</c:v>
                </c:pt>
                <c:pt idx="732">
                  <c:v>-3.60840916889138</c:v>
                </c:pt>
                <c:pt idx="733">
                  <c:v>-3.6502906648524656</c:v>
                </c:pt>
                <c:pt idx="734">
                  <c:v>-3.6922363050233051</c:v>
                </c:pt>
                <c:pt idx="735">
                  <c:v>-3.7342421493582241</c:v>
                </c:pt>
                <c:pt idx="736">
                  <c:v>-3.7763042744861384</c:v>
                </c:pt>
                <c:pt idx="737">
                  <c:v>-3.8184187743168247</c:v>
                </c:pt>
                <c:pt idx="738">
                  <c:v>-3.860581760639421</c:v>
                </c:pt>
                <c:pt idx="739">
                  <c:v>-3.9027893637130036</c:v>
                </c:pt>
                <c:pt idx="740">
                  <c:v>-3.945037732849102</c:v>
                </c:pt>
                <c:pt idx="741">
                  <c:v>-3.9873230369860413</c:v>
                </c:pt>
                <c:pt idx="742">
                  <c:v>-4.0296414652549499</c:v>
                </c:pt>
                <c:pt idx="743">
                  <c:v>-4.07198922753732</c:v>
                </c:pt>
                <c:pt idx="744">
                  <c:v>-4.1143625550139937</c:v>
                </c:pt>
                <c:pt idx="745">
                  <c:v>-4.1567577007054837</c:v>
                </c:pt>
                <c:pt idx="746">
                  <c:v>-4.1991709400034392</c:v>
                </c:pt>
                <c:pt idx="747">
                  <c:v>-4.2415985711932578</c:v>
                </c:pt>
                <c:pt idx="748">
                  <c:v>-4.2840369159676275</c:v>
                </c:pt>
                <c:pt idx="749">
                  <c:v>-4.3264823199309586</c:v>
                </c:pt>
                <c:pt idx="750">
                  <c:v>-4.3689311530945965</c:v>
                </c:pt>
                <c:pt idx="751">
                  <c:v>-4.4113798103627166</c:v>
                </c:pt>
                <c:pt idx="752">
                  <c:v>-4.4538247120087977</c:v>
                </c:pt>
                <c:pt idx="753">
                  <c:v>-4.4962623041426228</c:v>
                </c:pt>
                <c:pt idx="754">
                  <c:v>-4.5386890591676829</c:v>
                </c:pt>
                <c:pt idx="755">
                  <c:v>-4.5811014762289384</c:v>
                </c:pt>
                <c:pt idx="756">
                  <c:v>-4.6234960816508508</c:v>
                </c:pt>
                <c:pt idx="757">
                  <c:v>-4.6658694293656406</c:v>
                </c:pt>
                <c:pt idx="758">
                  <c:v>-4.7082181013316395</c:v>
                </c:pt>
                <c:pt idx="759">
                  <c:v>-4.7505387079417662</c:v>
                </c:pt>
                <c:pt idx="760">
                  <c:v>-4.7928278884220212</c:v>
                </c:pt>
                <c:pt idx="761">
                  <c:v>-4.8350823112199306</c:v>
                </c:pt>
                <c:pt idx="762">
                  <c:v>-4.8772986743829367</c:v>
                </c:pt>
                <c:pt idx="763">
                  <c:v>-4.919473705926678</c:v>
                </c:pt>
                <c:pt idx="764">
                  <c:v>-4.9616041641930941</c:v>
                </c:pt>
                <c:pt idx="765">
                  <c:v>-5.0036868381983552</c:v>
                </c:pt>
                <c:pt idx="766">
                  <c:v>-5.045718547970572</c:v>
                </c:pt>
                <c:pt idx="767">
                  <c:v>-5.0876961448772615</c:v>
                </c:pt>
                <c:pt idx="768">
                  <c:v>-5.129616511942543</c:v>
                </c:pt>
                <c:pt idx="769">
                  <c:v>-5.171476564154065</c:v>
                </c:pt>
                <c:pt idx="770">
                  <c:v>-5.2132732487596094</c:v>
                </c:pt>
                <c:pt idx="771">
                  <c:v>-5.2550035455534267</c:v>
                </c:pt>
                <c:pt idx="772">
                  <c:v>-5.2966644671522447</c:v>
                </c:pt>
                <c:pt idx="773">
                  <c:v>-5.3382530592609596</c:v>
                </c:pt>
                <c:pt idx="774">
                  <c:v>-5.3797664009280588</c:v>
                </c:pt>
                <c:pt idx="775">
                  <c:v>-5.4212016047906966</c:v>
                </c:pt>
                <c:pt idx="776">
                  <c:v>-5.4625558173095312</c:v>
                </c:pt>
                <c:pt idx="777">
                  <c:v>-5.5038262189932761</c:v>
                </c:pt>
                <c:pt idx="778">
                  <c:v>-5.5450100246129992</c:v>
                </c:pt>
                <c:pt idx="779">
                  <c:v>-5.5861044834062019</c:v>
                </c:pt>
                <c:pt idx="780">
                  <c:v>-5.6271068792707055</c:v>
                </c:pt>
                <c:pt idx="781">
                  <c:v>-5.6680145309483763</c:v>
                </c:pt>
                <c:pt idx="782">
                  <c:v>-5.7088247921987181</c:v>
                </c:pt>
                <c:pt idx="783">
                  <c:v>-5.7495350519623516</c:v>
                </c:pt>
                <c:pt idx="784">
                  <c:v>-5.7901427345145136</c:v>
                </c:pt>
                <c:pt idx="785">
                  <c:v>-5.8306452996084746</c:v>
                </c:pt>
                <c:pt idx="786">
                  <c:v>-5.8710402426090607</c:v>
                </c:pt>
                <c:pt idx="787">
                  <c:v>-5.9113250946162657</c:v>
                </c:pt>
                <c:pt idx="788">
                  <c:v>-5.951497422579032</c:v>
                </c:pt>
                <c:pt idx="789">
                  <c:v>-5.9915548293992122</c:v>
                </c:pt>
                <c:pt idx="790">
                  <c:v>-6.0314949540258915</c:v>
                </c:pt>
                <c:pt idx="791">
                  <c:v>-6.0713154715399877</c:v>
                </c:pt>
                <c:pt idx="792">
                  <c:v>-6.1110140932293158</c:v>
                </c:pt>
                <c:pt idx="793">
                  <c:v>-6.1505885666541413</c:v>
                </c:pt>
                <c:pt idx="794">
                  <c:v>-6.1900366757032996</c:v>
                </c:pt>
                <c:pt idx="795">
                  <c:v>-6.229356240640973</c:v>
                </c:pt>
                <c:pt idx="796">
                  <c:v>-6.2685451181442087</c:v>
                </c:pt>
                <c:pt idx="797">
                  <c:v>-6.3076012013312317</c:v>
                </c:pt>
                <c:pt idx="798">
                  <c:v>-6.3465224197807046</c:v>
                </c:pt>
                <c:pt idx="799">
                  <c:v>-6.3853067395419432</c:v>
                </c:pt>
                <c:pt idx="800">
                  <c:v>-6.4239521631362724</c:v>
                </c:pt>
                <c:pt idx="801">
                  <c:v>-6.462456729549503</c:v>
                </c:pt>
                <c:pt idx="802">
                  <c:v>-6.5008185142157675</c:v>
                </c:pt>
                <c:pt idx="803">
                  <c:v>-6.5390356289927052</c:v>
                </c:pt>
                <c:pt idx="804">
                  <c:v>-6.577106222128128</c:v>
                </c:pt>
                <c:pt idx="805">
                  <c:v>-6.6150284782183082</c:v>
                </c:pt>
                <c:pt idx="806">
                  <c:v>-6.6528006181579364</c:v>
                </c:pt>
                <c:pt idx="807">
                  <c:v>-6.6904208990819383</c:v>
                </c:pt>
                <c:pt idx="808">
                  <c:v>-6.7278876142991635</c:v>
                </c:pt>
                <c:pt idx="809">
                  <c:v>-6.7651990932181567</c:v>
                </c:pt>
                <c:pt idx="810">
                  <c:v>-6.8023537012650257</c:v>
                </c:pt>
                <c:pt idx="811">
                  <c:v>-6.8393498397936616</c:v>
                </c:pt>
                <c:pt idx="812">
                  <c:v>-6.8761859459882482</c:v>
                </c:pt>
                <c:pt idx="813">
                  <c:v>-6.9128604927583623</c:v>
                </c:pt>
                <c:pt idx="814">
                  <c:v>-6.9493719886266643</c:v>
                </c:pt>
                <c:pt idx="815">
                  <c:v>-6.9857189776093396</c:v>
                </c:pt>
                <c:pt idx="816">
                  <c:v>-7.0219000390894424</c:v>
                </c:pt>
                <c:pt idx="817">
                  <c:v>-7.0579137876832023</c:v>
                </c:pt>
                <c:pt idx="818">
                  <c:v>-7.0937588730995218</c:v>
                </c:pt>
                <c:pt idx="819">
                  <c:v>-7.1294339799926663</c:v>
                </c:pt>
                <c:pt idx="820">
                  <c:v>-7.1649378278084042</c:v>
                </c:pt>
                <c:pt idx="821">
                  <c:v>-7.2002691706236019</c:v>
                </c:pt>
                <c:pt idx="822">
                  <c:v>-7.2354267969795218</c:v>
                </c:pt>
                <c:pt idx="823">
                  <c:v>-7.2704095297088829</c:v>
                </c:pt>
                <c:pt idx="824">
                  <c:v>-7.3052162257568112</c:v>
                </c:pt>
                <c:pt idx="825">
                  <c:v>-7.3398457759958884</c:v>
                </c:pt>
                <c:pt idx="826">
                  <c:v>-7.3742971050353274</c:v>
                </c:pt>
                <c:pt idx="827">
                  <c:v>-7.408569171024479</c:v>
                </c:pt>
                <c:pt idx="828">
                  <c:v>-7.442660965450818</c:v>
                </c:pt>
                <c:pt idx="829">
                  <c:v>-7.4765715129324892</c:v>
                </c:pt>
                <c:pt idx="830">
                  <c:v>-7.510299871005536</c:v>
                </c:pt>
                <c:pt idx="831">
                  <c:v>-7.5438451299060789</c:v>
                </c:pt>
                <c:pt idx="832">
                  <c:v>-7.5772064123473832</c:v>
                </c:pt>
                <c:pt idx="833">
                  <c:v>-7.6103828732921066</c:v>
                </c:pt>
                <c:pt idx="834">
                  <c:v>-7.6433736997198318</c:v>
                </c:pt>
                <c:pt idx="835">
                  <c:v>-7.6761781103899089</c:v>
                </c:pt>
                <c:pt idx="836">
                  <c:v>-7.7087953555999373</c:v>
                </c:pt>
                <c:pt idx="837">
                  <c:v>-7.7412247169398469</c:v>
                </c:pt>
                <c:pt idx="838">
                  <c:v>-7.7734655070418031</c:v>
                </c:pt>
                <c:pt idx="839">
                  <c:v>-7.8055170693260463</c:v>
                </c:pt>
                <c:pt idx="840">
                  <c:v>-7.8373787777428126</c:v>
                </c:pt>
                <c:pt idx="841">
                  <c:v>-7.8690500365104468</c:v>
                </c:pt>
                <c:pt idx="842">
                  <c:v>-7.9005302798498871</c:v>
                </c:pt>
                <c:pt idx="843">
                  <c:v>-7.9318189717155674</c:v>
                </c:pt>
                <c:pt idx="844">
                  <c:v>-7.9629156055229844</c:v>
                </c:pt>
                <c:pt idx="845">
                  <c:v>-7.9938197038729628</c:v>
                </c:pt>
                <c:pt idx="846">
                  <c:v>-8.0245308182727833</c:v>
                </c:pt>
                <c:pt idx="847">
                  <c:v>-8.055048528854357</c:v>
                </c:pt>
                <c:pt idx="848">
                  <c:v>-8.0853724440894634</c:v>
                </c:pt>
                <c:pt idx="849">
                  <c:v>-8.1155022005022843</c:v>
                </c:pt>
                <c:pt idx="850">
                  <c:v>-8.145437462379304</c:v>
                </c:pt>
                <c:pt idx="851">
                  <c:v>-8.1751779214767168</c:v>
                </c:pt>
                <c:pt idx="852">
                  <c:v>-8.2047232967254864</c:v>
                </c:pt>
                <c:pt idx="853">
                  <c:v>-8.2340733339341394</c:v>
                </c:pt>
                <c:pt idx="854">
                  <c:v>-8.2632278054894535</c:v>
                </c:pt>
                <c:pt idx="855">
                  <c:v>-8.2921865100551457</c:v>
                </c:pt>
                <c:pt idx="856">
                  <c:v>-8.3209492722686882</c:v>
                </c:pt>
                <c:pt idx="857">
                  <c:v>-8.3495159424363585</c:v>
                </c:pt>
                <c:pt idx="858">
                  <c:v>-8.3778863962266712</c:v>
                </c:pt>
                <c:pt idx="859">
                  <c:v>-8.4060605343622719</c:v>
                </c:pt>
                <c:pt idx="860">
                  <c:v>-8.4340382823104232</c:v>
                </c:pt>
                <c:pt idx="861">
                  <c:v>-8.4618195899722188</c:v>
                </c:pt>
                <c:pt idx="862">
                  <c:v>-8.4894044313706161</c:v>
                </c:pt>
                <c:pt idx="863">
                  <c:v>-8.5167928043373653</c:v>
                </c:pt>
                <c:pt idx="864">
                  <c:v>-8.5439847301990621</c:v>
                </c:pt>
                <c:pt idx="865">
                  <c:v>-8.5709802534622757</c:v>
                </c:pt>
                <c:pt idx="866">
                  <c:v>-8.597779441497968</c:v>
                </c:pt>
                <c:pt idx="867">
                  <c:v>-8.624382384225294</c:v>
                </c:pt>
                <c:pt idx="868">
                  <c:v>-8.6507891937948411</c:v>
                </c:pt>
                <c:pt idx="869">
                  <c:v>-8.6770000042714539</c:v>
                </c:pt>
                <c:pt idx="870">
                  <c:v>-8.7030149713167653</c:v>
                </c:pt>
                <c:pt idx="871">
                  <c:v>-8.7288342718714311</c:v>
                </c:pt>
                <c:pt idx="872">
                  <c:v>-8.7544581038372886</c:v>
                </c:pt>
                <c:pt idx="873">
                  <c:v>-8.7798866857594877</c:v>
                </c:pt>
                <c:pt idx="874">
                  <c:v>-8.8051202565086193</c:v>
                </c:pt>
                <c:pt idx="875">
                  <c:v>-8.8301590749630829</c:v>
                </c:pt>
                <c:pt idx="876">
                  <c:v>-8.8550034196916272</c:v>
                </c:pt>
                <c:pt idx="877">
                  <c:v>-8.8796535886362751</c:v>
                </c:pt>
                <c:pt idx="878">
                  <c:v>-8.9041098987956282</c:v>
                </c:pt>
                <c:pt idx="879">
                  <c:v>-8.9283726859087125</c:v>
                </c:pt>
                <c:pt idx="880">
                  <c:v>-8.9524423041393995</c:v>
                </c:pt>
                <c:pt idx="881">
                  <c:v>-8.9763191257615222</c:v>
                </c:pt>
                <c:pt idx="882">
                  <c:v>-9.0000035408446966</c:v>
                </c:pt>
                <c:pt idx="883">
                  <c:v>-9.0234959569410371</c:v>
                </c:pt>
                <c:pt idx="884">
                  <c:v>-9.0467967987727391</c:v>
                </c:pt>
                <c:pt idx="885">
                  <c:v>-9.0699065079206882</c:v>
                </c:pt>
                <c:pt idx="886">
                  <c:v>-9.0928255425140918</c:v>
                </c:pt>
                <c:pt idx="887">
                  <c:v>-9.115554376921251</c:v>
                </c:pt>
                <c:pt idx="888">
                  <c:v>-9.1380935014415687</c:v>
                </c:pt>
                <c:pt idx="889">
                  <c:v>-9.1604434219987869</c:v>
                </c:pt>
                <c:pt idx="890">
                  <c:v>-9.1826046598356097</c:v>
                </c:pt>
                <c:pt idx="891">
                  <c:v>-9.2045777512096514</c:v>
                </c:pt>
                <c:pt idx="892">
                  <c:v>-9.2263632470909531</c:v>
                </c:pt>
                <c:pt idx="893">
                  <c:v>-9.2479617128609437</c:v>
                </c:pt>
                <c:pt idx="894">
                  <c:v>-9.2693737280130382</c:v>
                </c:pt>
                <c:pt idx="895">
                  <c:v>-9.2905998858548919</c:v>
                </c:pt>
                <c:pt idx="896">
                  <c:v>-9.3116407932122787</c:v>
                </c:pt>
                <c:pt idx="897">
                  <c:v>-9.3324970701348313</c:v>
                </c:pt>
                <c:pt idx="898">
                  <c:v>-9.3531693496035402</c:v>
                </c:pt>
                <c:pt idx="899">
                  <c:v>-9.3736582772401054</c:v>
                </c:pt>
                <c:pt idx="900">
                  <c:v>-9.3939645110182326</c:v>
                </c:pt>
                <c:pt idx="901">
                  <c:v>-9.4140887209768778</c:v>
                </c:pt>
                <c:pt idx="902">
                  <c:v>-9.4340315889354827</c:v>
                </c:pt>
                <c:pt idx="903">
                  <c:v>-9.4537938082113104</c:v>
                </c:pt>
                <c:pt idx="904">
                  <c:v>-9.4733760833388256</c:v>
                </c:pt>
                <c:pt idx="905">
                  <c:v>-9.492779129791229</c:v>
                </c:pt>
                <c:pt idx="906">
                  <c:v>-9.5120036737041911</c:v>
                </c:pt>
                <c:pt idx="907">
                  <c:v>-9.5310504516017964</c:v>
                </c:pt>
                <c:pt idx="908">
                  <c:v>-9.5499202101247054</c:v>
                </c:pt>
                <c:pt idx="909">
                  <c:v>-9.5686137057606508</c:v>
                </c:pt>
                <c:pt idx="910">
                  <c:v>-9.5871317045772511</c:v>
                </c:pt>
                <c:pt idx="911">
                  <c:v>-9.605474981957169</c:v>
                </c:pt>
                <c:pt idx="912">
                  <c:v>-9.6236443223356112</c:v>
                </c:pt>
                <c:pt idx="913">
                  <c:v>-9.6416405189403935</c:v>
                </c:pt>
                <c:pt idx="914">
                  <c:v>-9.6594643735342327</c:v>
                </c:pt>
                <c:pt idx="915">
                  <c:v>-9.677116696159743</c:v>
                </c:pt>
                <c:pt idx="916">
                  <c:v>-9.6945983048867159</c:v>
                </c:pt>
                <c:pt idx="917">
                  <c:v>-9.7119100255620996</c:v>
                </c:pt>
                <c:pt idx="918">
                  <c:v>-9.729052691562396</c:v>
                </c:pt>
                <c:pt idx="919">
                  <c:v>-9.7460271435486963</c:v>
                </c:pt>
                <c:pt idx="920">
                  <c:v>-9.7628342292242731</c:v>
                </c:pt>
                <c:pt idx="921">
                  <c:v>-9.7794748030947591</c:v>
                </c:pt>
                <c:pt idx="922">
                  <c:v>-9.7959497262310062</c:v>
                </c:pt>
                <c:pt idx="923">
                  <c:v>-9.8122598660345055</c:v>
                </c:pt>
                <c:pt idx="924">
                  <c:v>-9.8284060960055246</c:v>
                </c:pt>
                <c:pt idx="925">
                  <c:v>-9.8443892955138672</c:v>
                </c:pt>
                <c:pt idx="926">
                  <c:v>-9.8602103495723448</c:v>
                </c:pt>
                <c:pt idx="927">
                  <c:v>-9.8758701486128988</c:v>
                </c:pt>
                <c:pt idx="928">
                  <c:v>-9.891369588265448</c:v>
                </c:pt>
                <c:pt idx="929">
                  <c:v>-9.906709569139462</c:v>
                </c:pt>
                <c:pt idx="930">
                  <c:v>-9.9218909966081963</c:v>
                </c:pt>
                <c:pt idx="931">
                  <c:v>-9.9219060088118223</c:v>
                </c:pt>
                <c:pt idx="932">
                  <c:v>-9.9219210208594451</c:v>
                </c:pt>
                <c:pt idx="933">
                  <c:v>-9.9219360327510806</c:v>
                </c:pt>
                <c:pt idx="934">
                  <c:v>-9.9219510444867236</c:v>
                </c:pt>
                <c:pt idx="935">
                  <c:v>-9.9219660560663705</c:v>
                </c:pt>
                <c:pt idx="936">
                  <c:v>-9.9219810674900355</c:v>
                </c:pt>
                <c:pt idx="937">
                  <c:v>-9.9219960787577026</c:v>
                </c:pt>
                <c:pt idx="938">
                  <c:v>-9.9220110898693914</c:v>
                </c:pt>
                <c:pt idx="939">
                  <c:v>-9.9220261008250912</c:v>
                </c:pt>
                <c:pt idx="940">
                  <c:v>-9.922041111624802</c:v>
                </c:pt>
                <c:pt idx="941">
                  <c:v>-9.9220561222685291</c:v>
                </c:pt>
                <c:pt idx="942">
                  <c:v>-9.9220711327562725</c:v>
                </c:pt>
                <c:pt idx="943">
                  <c:v>-9.9220861430880323</c:v>
                </c:pt>
                <c:pt idx="944">
                  <c:v>-9.9221011532638048</c:v>
                </c:pt>
                <c:pt idx="945">
                  <c:v>-9.9221161632836061</c:v>
                </c:pt>
                <c:pt idx="946">
                  <c:v>-9.922131173147422</c:v>
                </c:pt>
                <c:pt idx="947">
                  <c:v>-9.9221461828552506</c:v>
                </c:pt>
                <c:pt idx="948">
                  <c:v>-9.9221611924071169</c:v>
                </c:pt>
                <c:pt idx="949">
                  <c:v>-9.9221762018029906</c:v>
                </c:pt>
                <c:pt idx="950">
                  <c:v>-9.9221912110428931</c:v>
                </c:pt>
                <c:pt idx="951">
                  <c:v>-9.9222062201268173</c:v>
                </c:pt>
                <c:pt idx="952">
                  <c:v>-9.9222212290547702</c:v>
                </c:pt>
                <c:pt idx="953">
                  <c:v>-9.9222362378267484</c:v>
                </c:pt>
                <c:pt idx="954">
                  <c:v>-9.9222512464427535</c:v>
                </c:pt>
                <c:pt idx="955">
                  <c:v>-9.9222662549027802</c:v>
                </c:pt>
                <c:pt idx="956">
                  <c:v>-9.9222812632068429</c:v>
                </c:pt>
                <c:pt idx="957">
                  <c:v>-9.9222962713549308</c:v>
                </c:pt>
                <c:pt idx="958">
                  <c:v>-9.9223112793470509</c:v>
                </c:pt>
                <c:pt idx="959">
                  <c:v>-9.9223262871831999</c:v>
                </c:pt>
                <c:pt idx="960">
                  <c:v>-9.9223412948633811</c:v>
                </c:pt>
                <c:pt idx="961">
                  <c:v>-9.9223563023875929</c:v>
                </c:pt>
                <c:pt idx="962">
                  <c:v>-9.9223713097558441</c:v>
                </c:pt>
                <c:pt idx="963">
                  <c:v>-9.922386316968133</c:v>
                </c:pt>
                <c:pt idx="964">
                  <c:v>-9.9224013240244489</c:v>
                </c:pt>
                <c:pt idx="965">
                  <c:v>-9.9224163309248059</c:v>
                </c:pt>
                <c:pt idx="966">
                  <c:v>-9.9224313376691953</c:v>
                </c:pt>
                <c:pt idx="967">
                  <c:v>-9.9224463442576329</c:v>
                </c:pt>
                <c:pt idx="968">
                  <c:v>-9.9224613506901012</c:v>
                </c:pt>
                <c:pt idx="969">
                  <c:v>-9.9224763569666106</c:v>
                </c:pt>
                <c:pt idx="970">
                  <c:v>-9.922491363087163</c:v>
                </c:pt>
                <c:pt idx="971">
                  <c:v>-9.9225063690517583</c:v>
                </c:pt>
                <c:pt idx="972">
                  <c:v>-9.9225213748603966</c:v>
                </c:pt>
                <c:pt idx="973">
                  <c:v>-9.9225363805130762</c:v>
                </c:pt>
                <c:pt idx="974">
                  <c:v>-9.9225513860098022</c:v>
                </c:pt>
                <c:pt idx="975">
                  <c:v>-9.9225663913505748</c:v>
                </c:pt>
                <c:pt idx="976">
                  <c:v>-9.9225813965353939</c:v>
                </c:pt>
                <c:pt idx="977">
                  <c:v>-9.9225964015642596</c:v>
                </c:pt>
                <c:pt idx="978">
                  <c:v>-9.9226114064371718</c:v>
                </c:pt>
                <c:pt idx="979">
                  <c:v>-9.922626411154134</c:v>
                </c:pt>
                <c:pt idx="980">
                  <c:v>-9.9226414157151481</c:v>
                </c:pt>
                <c:pt idx="981">
                  <c:v>-9.9226564201202159</c:v>
                </c:pt>
                <c:pt idx="982">
                  <c:v>-9.9226714243693301</c:v>
                </c:pt>
                <c:pt idx="983">
                  <c:v>-9.922686428462498</c:v>
                </c:pt>
                <c:pt idx="984">
                  <c:v>-9.9227014323997178</c:v>
                </c:pt>
                <c:pt idx="985">
                  <c:v>-9.9227164361810001</c:v>
                </c:pt>
                <c:pt idx="986">
                  <c:v>-9.9227314398063307</c:v>
                </c:pt>
                <c:pt idx="987">
                  <c:v>-9.9227464432757184</c:v>
                </c:pt>
                <c:pt idx="988">
                  <c:v>-9.9227614465891634</c:v>
                </c:pt>
                <c:pt idx="989">
                  <c:v>-9.9227764497466655</c:v>
                </c:pt>
                <c:pt idx="990">
                  <c:v>-9.9227914527482284</c:v>
                </c:pt>
                <c:pt idx="991">
                  <c:v>-9.922806455593852</c:v>
                </c:pt>
                <c:pt idx="992">
                  <c:v>-9.9228214582835399</c:v>
                </c:pt>
                <c:pt idx="993">
                  <c:v>-9.9228364608172814</c:v>
                </c:pt>
                <c:pt idx="994">
                  <c:v>-9.922851463195089</c:v>
                </c:pt>
                <c:pt idx="995">
                  <c:v>-9.9228664654169627</c:v>
                </c:pt>
                <c:pt idx="996">
                  <c:v>-9.9228814674828989</c:v>
                </c:pt>
                <c:pt idx="997">
                  <c:v>-9.9228964693929029</c:v>
                </c:pt>
                <c:pt idx="998">
                  <c:v>-9.9229114711469659</c:v>
                </c:pt>
                <c:pt idx="999">
                  <c:v>-9.9229264727451021</c:v>
                </c:pt>
                <c:pt idx="1000">
                  <c:v>-9.9229414741873079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3-45DE-97F3-E9553C49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5168"/>
        <c:axId val="149577088"/>
      </c:scatterChart>
      <c:valAx>
        <c:axId val="14957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7088"/>
        <c:crosses val="autoZero"/>
        <c:crossBetween val="midCat"/>
      </c:valAx>
      <c:valAx>
        <c:axId val="14957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Accélérations [m/s²]_</a:t>
                </a:r>
              </a:p>
            </c:rich>
          </c:tx>
          <c:layout>
            <c:manualLayout>
              <c:xMode val="edge"/>
              <c:yMode val="edge"/>
              <c:x val="2.712264150943397E-2"/>
              <c:y val="0.29738652668416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95018075570744"/>
          <c:y val="0.25777777777777783"/>
          <c:w val="0.30974867528351424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Positions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3856444854360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Courbes!$B$144</c:f>
              <c:strCache>
                <c:ptCount val="1"/>
                <c:pt idx="0">
                  <c:v>Portée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Calculs!$J$4:$J$1004</c:f>
              <c:numCache>
                <c:formatCode>0.00</c:formatCode>
                <c:ptCount val="1001"/>
                <c:pt idx="0">
                  <c:v>43.33</c:v>
                </c:pt>
                <c:pt idx="1">
                  <c:v>43.502947616556924</c:v>
                </c:pt>
                <c:pt idx="2">
                  <c:v>43.676191982687143</c:v>
                </c:pt>
                <c:pt idx="3">
                  <c:v>43.850095067925984</c:v>
                </c:pt>
                <c:pt idx="4">
                  <c:v>44.025019448138593</c:v>
                </c:pt>
                <c:pt idx="5">
                  <c:v>44.201328445257381</c:v>
                </c:pt>
                <c:pt idx="6">
                  <c:v>44.379294270544257</c:v>
                </c:pt>
                <c:pt idx="7">
                  <c:v>44.559005732977624</c:v>
                </c:pt>
                <c:pt idx="8">
                  <c:v>44.740459740934682</c:v>
                </c:pt>
                <c:pt idx="9">
                  <c:v>44.923653169871478</c:v>
                </c:pt>
                <c:pt idx="10">
                  <c:v>45.108582862672691</c:v>
                </c:pt>
                <c:pt idx="11">
                  <c:v>45.295245629994866</c:v>
                </c:pt>
                <c:pt idx="12">
                  <c:v>45.483638250603377</c:v>
                </c:pt>
                <c:pt idx="13">
                  <c:v>45.673757471703318</c:v>
                </c:pt>
                <c:pt idx="14">
                  <c:v>45.865600009264661</c:v>
                </c:pt>
                <c:pt idx="15">
                  <c:v>46.059162548341767</c:v>
                </c:pt>
                <c:pt idx="16">
                  <c:v>46.254441743387638</c:v>
                </c:pt>
                <c:pt idx="17">
                  <c:v>46.451434218562952</c:v>
                </c:pt>
                <c:pt idx="18">
                  <c:v>46.650136568040189</c:v>
                </c:pt>
                <c:pt idx="19">
                  <c:v>46.850545356302973</c:v>
                </c:pt>
                <c:pt idx="20">
                  <c:v>47.052657118440862</c:v>
                </c:pt>
                <c:pt idx="21">
                  <c:v>47.256468360439726</c:v>
                </c:pt>
                <c:pt idx="22">
                  <c:v>47.461975559467838</c:v>
                </c:pt>
                <c:pt idx="23">
                  <c:v>47.669175164157927</c:v>
                </c:pt>
                <c:pt idx="24">
                  <c:v>47.878063594885262</c:v>
                </c:pt>
                <c:pt idx="25">
                  <c:v>48.088637244041927</c:v>
                </c:pt>
                <c:pt idx="26">
                  <c:v>48.300892476307446</c:v>
                </c:pt>
                <c:pt idx="27">
                  <c:v>48.514825628915887</c:v>
                </c:pt>
                <c:pt idx="28">
                  <c:v>48.730433011919501</c:v>
                </c:pt>
                <c:pt idx="29">
                  <c:v>48.947710908449132</c:v>
                </c:pt>
                <c:pt idx="30">
                  <c:v>49.166655574971394</c:v>
                </c:pt>
                <c:pt idx="31">
                  <c:v>49.387263241542811</c:v>
                </c:pt>
                <c:pt idx="32">
                  <c:v>49.609530112060966</c:v>
                </c:pt>
                <c:pt idx="33">
                  <c:v>49.833452364512787</c:v>
                </c:pt>
                <c:pt idx="34">
                  <c:v>50.059026151220053</c:v>
                </c:pt>
                <c:pt idx="35">
                  <c:v>50.286247599082223</c:v>
                </c:pt>
                <c:pt idx="36">
                  <c:v>50.515112809816678</c:v>
                </c:pt>
                <c:pt idx="37">
                  <c:v>50.745617860196411</c:v>
                </c:pt>
                <c:pt idx="38">
                  <c:v>50.977758802285315</c:v>
                </c:pt>
                <c:pt idx="39">
                  <c:v>51.211531663671089</c:v>
                </c:pt>
                <c:pt idx="40">
                  <c:v>51.446932447695893</c:v>
                </c:pt>
                <c:pt idx="41">
                  <c:v>51.683957133684743</c:v>
                </c:pt>
                <c:pt idx="42">
                  <c:v>51.922601677171777</c:v>
                </c:pt>
                <c:pt idx="43">
                  <c:v>52.162862010124449</c:v>
                </c:pt>
                <c:pt idx="44">
                  <c:v>52.404734041165682</c:v>
                </c:pt>
                <c:pt idx="45">
                  <c:v>52.648213655794038</c:v>
                </c:pt>
                <c:pt idx="46">
                  <c:v>52.893296716602045</c:v>
                </c:pt>
                <c:pt idx="47">
                  <c:v>53.139979063492589</c:v>
                </c:pt>
                <c:pt idx="48">
                  <c:v>53.388256513893559</c:v>
                </c:pt>
                <c:pt idx="49">
                  <c:v>53.638124862970727</c:v>
                </c:pt>
                <c:pt idx="50">
                  <c:v>53.889579883838913</c:v>
                </c:pt>
                <c:pt idx="51">
                  <c:v>54.142617829547113</c:v>
                </c:pt>
                <c:pt idx="52">
                  <c:v>54.397235936528759</c:v>
                </c:pt>
                <c:pt idx="53">
                  <c:v>54.653431924786922</c:v>
                </c:pt>
                <c:pt idx="54">
                  <c:v>54.911203496575332</c:v>
                </c:pt>
                <c:pt idx="55">
                  <c:v>55.170548336530153</c:v>
                </c:pt>
                <c:pt idx="56">
                  <c:v>55.431464111800835</c:v>
                </c:pt>
                <c:pt idx="57">
                  <c:v>55.693948472180068</c:v>
                </c:pt>
                <c:pt idx="58">
                  <c:v>55.95799905023285</c:v>
                </c:pt>
                <c:pt idx="59">
                  <c:v>56.223613461424684</c:v>
                </c:pt>
                <c:pt idx="60">
                  <c:v>56.490789304248977</c:v>
                </c:pt>
                <c:pt idx="61">
                  <c:v>56.759524160353628</c:v>
                </c:pt>
                <c:pt idx="62">
                  <c:v>57.029815594666786</c:v>
                </c:pt>
                <c:pt idx="63">
                  <c:v>57.301661155521884</c:v>
                </c:pt>
                <c:pt idx="64">
                  <c:v>57.575058374781939</c:v>
                </c:pt>
                <c:pt idx="65">
                  <c:v>57.850004767963064</c:v>
                </c:pt>
                <c:pt idx="66">
                  <c:v>58.12649783435733</c:v>
                </c:pt>
                <c:pt idx="67">
                  <c:v>58.404535057154931</c:v>
                </c:pt>
                <c:pt idx="68">
                  <c:v>58.684113903565631</c:v>
                </c:pt>
                <c:pt idx="69">
                  <c:v>58.965231824939622</c:v>
                </c:pt>
                <c:pt idx="70">
                  <c:v>59.247886256887689</c:v>
                </c:pt>
                <c:pt idx="71">
                  <c:v>59.532074619400774</c:v>
                </c:pt>
                <c:pt idx="72">
                  <c:v>59.817794316968929</c:v>
                </c:pt>
                <c:pt idx="73">
                  <c:v>60.105042738699652</c:v>
                </c:pt>
                <c:pt idx="74">
                  <c:v>60.393817258435696</c:v>
                </c:pt>
                <c:pt idx="75">
                  <c:v>60.684115234872237</c:v>
                </c:pt>
                <c:pt idx="76">
                  <c:v>60.975934011673544</c:v>
                </c:pt>
                <c:pt idx="77">
                  <c:v>61.269270917589083</c:v>
                </c:pt>
                <c:pt idx="78">
                  <c:v>61.564123266569077</c:v>
                </c:pt>
                <c:pt idx="79">
                  <c:v>61.860488357879575</c:v>
                </c:pt>
                <c:pt idx="80">
                  <c:v>62.158363476216998</c:v>
                </c:pt>
                <c:pt idx="81">
                  <c:v>62.457745891822164</c:v>
                </c:pt>
                <c:pt idx="82">
                  <c:v>62.75863286059387</c:v>
                </c:pt>
                <c:pt idx="83">
                  <c:v>63.061021624201949</c:v>
                </c:pt>
                <c:pt idx="84">
                  <c:v>63.364909410199886</c:v>
                </c:pt>
                <c:pt idx="85">
                  <c:v>63.670293432136965</c:v>
                </c:pt>
                <c:pt idx="86">
                  <c:v>63.977170889669956</c:v>
                </c:pt>
                <c:pt idx="87">
                  <c:v>64.285538968674373</c:v>
                </c:pt>
                <c:pt idx="88">
                  <c:v>64.595394841355287</c:v>
                </c:pt>
                <c:pt idx="89">
                  <c:v>64.90673566635769</c:v>
                </c:pt>
                <c:pt idx="90">
                  <c:v>65.219558588876495</c:v>
                </c:pt>
                <c:pt idx="91">
                  <c:v>65.533860740766059</c:v>
                </c:pt>
                <c:pt idx="92">
                  <c:v>65.84963924064931</c:v>
                </c:pt>
                <c:pt idx="93">
                  <c:v>66.166891194026519</c:v>
                </c:pt>
                <c:pt idx="94">
                  <c:v>66.485613693383613</c:v>
                </c:pt>
                <c:pt idx="95">
                  <c:v>66.805803818300149</c:v>
                </c:pt>
                <c:pt idx="96">
                  <c:v>67.127458635556863</c:v>
                </c:pt>
                <c:pt idx="97">
                  <c:v>67.450575199242877</c:v>
                </c:pt>
                <c:pt idx="98">
                  <c:v>67.775150550862492</c:v>
                </c:pt>
                <c:pt idx="99">
                  <c:v>68.101181719441669</c:v>
                </c:pt>
                <c:pt idx="100">
                  <c:v>68.428665721634076</c:v>
                </c:pt>
                <c:pt idx="101">
                  <c:v>68.757599322986124</c:v>
                </c:pt>
                <c:pt idx="102">
                  <c:v>69.087978798695218</c:v>
                </c:pt>
                <c:pt idx="103">
                  <c:v>69.419800172034101</c:v>
                </c:pt>
                <c:pt idx="104">
                  <c:v>69.753059453295094</c:v>
                </c:pt>
                <c:pt idx="105">
                  <c:v>70.087752639922115</c:v>
                </c:pt>
                <c:pt idx="106">
                  <c:v>70.423875716642087</c:v>
                </c:pt>
                <c:pt idx="107">
                  <c:v>70.761424655595889</c:v>
                </c:pt>
                <c:pt idx="108">
                  <c:v>71.100395416468814</c:v>
                </c:pt>
                <c:pt idx="109">
                  <c:v>71.440783946620556</c:v>
                </c:pt>
                <c:pt idx="110">
                  <c:v>71.78258618121464</c:v>
                </c:pt>
                <c:pt idx="111">
                  <c:v>72.125798043347402</c:v>
                </c:pt>
                <c:pt idx="112">
                  <c:v>72.470415444176496</c:v>
                </c:pt>
                <c:pt idx="113">
                  <c:v>72.816434283048878</c:v>
                </c:pt>
                <c:pt idx="114">
                  <c:v>73.16385044762832</c:v>
                </c:pt>
                <c:pt idx="115">
                  <c:v>73.51265981402247</c:v>
                </c:pt>
                <c:pt idx="116">
                  <c:v>73.862858246909425</c:v>
                </c:pt>
                <c:pt idx="117">
                  <c:v>74.2144415996638</c:v>
                </c:pt>
                <c:pt idx="118">
                  <c:v>74.567405714482319</c:v>
                </c:pt>
                <c:pt idx="119">
                  <c:v>74.921746422509003</c:v>
                </c:pt>
                <c:pt idx="120">
                  <c:v>75.277459543959793</c:v>
                </c:pt>
                <c:pt idx="121">
                  <c:v>75.634540888246761</c:v>
                </c:pt>
                <c:pt idx="122">
                  <c:v>75.992986254101865</c:v>
                </c:pt>
                <c:pt idx="123">
                  <c:v>76.352791429700162</c:v>
                </c:pt>
                <c:pt idx="124">
                  <c:v>76.713952192782614</c:v>
                </c:pt>
                <c:pt idx="125">
                  <c:v>77.076464310778434</c:v>
                </c:pt>
                <c:pt idx="126">
                  <c:v>77.440323540926926</c:v>
                </c:pt>
                <c:pt idx="127">
                  <c:v>77.805525630398861</c:v>
                </c:pt>
                <c:pt idx="128">
                  <c:v>78.172066316417457</c:v>
                </c:pt>
                <c:pt idx="129">
                  <c:v>78.539941326378766</c:v>
                </c:pt>
                <c:pt idx="130">
                  <c:v>78.909146377971751</c:v>
                </c:pt>
                <c:pt idx="131">
                  <c:v>79.279677179297764</c:v>
                </c:pt>
                <c:pt idx="132">
                  <c:v>79.651529428989633</c:v>
                </c:pt>
                <c:pt idx="133">
                  <c:v>80.024698816330272</c:v>
                </c:pt>
                <c:pt idx="134">
                  <c:v>80.399181021370836</c:v>
                </c:pt>
                <c:pt idx="135">
                  <c:v>80.774971715048366</c:v>
                </c:pt>
                <c:pt idx="136">
                  <c:v>81.152066559303023</c:v>
                </c:pt>
                <c:pt idx="137">
                  <c:v>81.530461207194847</c:v>
                </c:pt>
                <c:pt idx="138">
                  <c:v>81.910151303020001</c:v>
                </c:pt>
                <c:pt idx="139">
                  <c:v>82.291132482426633</c:v>
                </c:pt>
                <c:pt idx="140">
                  <c:v>82.673400372530196</c:v>
                </c:pt>
                <c:pt idx="141">
                  <c:v>83.056950592028343</c:v>
                </c:pt>
                <c:pt idx="142">
                  <c:v>83.441778751315368</c:v>
                </c:pt>
                <c:pt idx="143">
                  <c:v>83.827880452596105</c:v>
                </c:pt>
                <c:pt idx="144">
                  <c:v>84.215251289999472</c:v>
                </c:pt>
                <c:pt idx="145">
                  <c:v>84.603886849691435</c:v>
                </c:pt>
                <c:pt idx="146">
                  <c:v>84.99378270998757</c:v>
                </c:pt>
                <c:pt idx="147">
                  <c:v>85.384934441465163</c:v>
                </c:pt>
                <c:pt idx="148">
                  <c:v>85.777337607074756</c:v>
                </c:pt>
                <c:pt idx="149">
                  <c:v>86.170987762251329</c:v>
                </c:pt>
                <c:pt idx="150">
                  <c:v>86.565880455024939</c:v>
                </c:pt>
                <c:pt idx="151">
                  <c:v>86.962011309615519</c:v>
                </c:pt>
                <c:pt idx="152">
                  <c:v>87.359376110145419</c:v>
                </c:pt>
                <c:pt idx="153">
                  <c:v>87.757970717347945</c:v>
                </c:pt>
                <c:pt idx="154">
                  <c:v>88.15779098515327</c:v>
                </c:pt>
                <c:pt idx="155">
                  <c:v>88.558832760788448</c:v>
                </c:pt>
                <c:pt idx="156">
                  <c:v>88.961091884877035</c:v>
                </c:pt>
                <c:pt idx="157">
                  <c:v>89.364564191538307</c:v>
                </c:pt>
                <c:pt idx="158">
                  <c:v>89.769245508486065</c:v>
                </c:pt>
                <c:pt idx="159">
                  <c:v>90.175131657126983</c:v>
                </c:pt>
                <c:pt idx="160">
                  <c:v>90.582218452658552</c:v>
                </c:pt>
                <c:pt idx="161">
                  <c:v>90.990501704166576</c:v>
                </c:pt>
                <c:pt idx="162">
                  <c:v>91.399977214722327</c:v>
                </c:pt>
                <c:pt idx="163">
                  <c:v>91.810640781479137</c:v>
                </c:pt>
                <c:pt idx="164">
                  <c:v>92.222488195768676</c:v>
                </c:pt>
                <c:pt idx="165">
                  <c:v>92.635515243196778</c:v>
                </c:pt>
                <c:pt idx="166">
                  <c:v>93.049717703738779</c:v>
                </c:pt>
                <c:pt idx="167">
                  <c:v>93.465091351834516</c:v>
                </c:pt>
                <c:pt idx="168">
                  <c:v>93.881631956482806</c:v>
                </c:pt>
                <c:pt idx="169">
                  <c:v>94.299335281335559</c:v>
                </c:pt>
                <c:pt idx="170">
                  <c:v>94.718197084791413</c:v>
                </c:pt>
                <c:pt idx="171">
                  <c:v>95.138213120088992</c:v>
                </c:pt>
                <c:pt idx="172">
                  <c:v>95.559379135399638</c:v>
                </c:pt>
                <c:pt idx="173">
                  <c:v>95.981690873919803</c:v>
                </c:pt>
                <c:pt idx="174">
                  <c:v>96.40514407396293</c:v>
                </c:pt>
                <c:pt idx="175">
                  <c:v>96.829734469050933</c:v>
                </c:pt>
                <c:pt idx="176">
                  <c:v>97.255457788005245</c:v>
                </c:pt>
                <c:pt idx="177">
                  <c:v>97.682309755037366</c:v>
                </c:pt>
                <c:pt idx="178">
                  <c:v>98.110286089839079</c:v>
                </c:pt>
                <c:pt idx="179">
                  <c:v>98.539382507672087</c:v>
                </c:pt>
                <c:pt idx="180">
                  <c:v>98.969594719457334</c:v>
                </c:pt>
                <c:pt idx="181">
                  <c:v>99.400918431863772</c:v>
                </c:pt>
                <c:pt idx="182">
                  <c:v>99.833349347396762</c:v>
                </c:pt>
                <c:pt idx="183">
                  <c:v>100.26688316448602</c:v>
                </c:pt>
                <c:pt idx="184">
                  <c:v>100.70151557757303</c:v>
                </c:pt>
                <c:pt idx="185">
                  <c:v>101.13724227719815</c:v>
                </c:pt>
                <c:pt idx="186">
                  <c:v>101.57405895008714</c:v>
                </c:pt>
                <c:pt idx="187">
                  <c:v>102.01196127923728</c:v>
                </c:pt>
                <c:pt idx="188">
                  <c:v>102.45094494400313</c:v>
                </c:pt>
                <c:pt idx="189">
                  <c:v>102.89100562018164</c:v>
                </c:pt>
                <c:pt idx="190">
                  <c:v>103.33213898009703</c:v>
                </c:pt>
                <c:pt idx="191">
                  <c:v>103.77434069268503</c:v>
                </c:pt>
                <c:pt idx="192">
                  <c:v>104.2176064235768</c:v>
                </c:pt>
                <c:pt idx="193">
                  <c:v>104.66193183518227</c:v>
                </c:pt>
                <c:pt idx="194">
                  <c:v>105.10731258677318</c:v>
                </c:pt>
                <c:pt idx="195">
                  <c:v>105.55374433456548</c:v>
                </c:pt>
                <c:pt idx="196">
                  <c:v>106.00122273180145</c:v>
                </c:pt>
                <c:pt idx="197">
                  <c:v>106.44974342883121</c:v>
                </c:pt>
                <c:pt idx="198">
                  <c:v>106.89930207319389</c:v>
                </c:pt>
                <c:pt idx="199">
                  <c:v>107.34989430969824</c:v>
                </c:pt>
                <c:pt idx="200">
                  <c:v>107.80151578050285</c:v>
                </c:pt>
                <c:pt idx="201">
                  <c:v>108.25416212519589</c:v>
                </c:pt>
                <c:pt idx="202">
                  <c:v>108.70782898087437</c:v>
                </c:pt>
                <c:pt idx="203">
                  <c:v>109.16251198222292</c:v>
                </c:pt>
                <c:pt idx="204">
                  <c:v>109.61820676159222</c:v>
                </c:pt>
                <c:pt idx="205">
                  <c:v>110.07490894907677</c:v>
                </c:pt>
                <c:pt idx="206">
                  <c:v>110.53261417259239</c:v>
                </c:pt>
                <c:pt idx="207">
                  <c:v>110.99131805795312</c:v>
                </c:pt>
                <c:pt idx="208">
                  <c:v>111.45101622894775</c:v>
                </c:pt>
                <c:pt idx="209">
                  <c:v>111.91170430741576</c:v>
                </c:pt>
                <c:pt idx="210">
                  <c:v>112.37337791332295</c:v>
                </c:pt>
                <c:pt idx="211">
                  <c:v>112.83603266483649</c:v>
                </c:pt>
                <c:pt idx="212">
                  <c:v>113.29966417839954</c:v>
                </c:pt>
                <c:pt idx="213">
                  <c:v>113.76426806880535</c:v>
                </c:pt>
                <c:pt idx="214">
                  <c:v>114.22983994927101</c:v>
                </c:pt>
                <c:pt idx="215">
                  <c:v>114.69637543151063</c:v>
                </c:pt>
                <c:pt idx="216">
                  <c:v>115.16387012580805</c:v>
                </c:pt>
                <c:pt idx="217">
                  <c:v>115.63231964108913</c:v>
                </c:pt>
                <c:pt idx="218">
                  <c:v>116.10171958499355</c:v>
                </c:pt>
                <c:pt idx="219">
                  <c:v>116.57206556394614</c:v>
                </c:pt>
                <c:pt idx="220">
                  <c:v>117.04335318322774</c:v>
                </c:pt>
                <c:pt idx="221">
                  <c:v>117.51557804704555</c:v>
                </c:pt>
                <c:pt idx="222">
                  <c:v>117.98873575860308</c:v>
                </c:pt>
                <c:pt idx="223">
                  <c:v>118.4628219201696</c:v>
                </c:pt>
                <c:pt idx="224">
                  <c:v>118.93783213314906</c:v>
                </c:pt>
                <c:pt idx="225">
                  <c:v>119.41376199814864</c:v>
                </c:pt>
                <c:pt idx="226">
                  <c:v>119.89060711504676</c:v>
                </c:pt>
                <c:pt idx="227">
                  <c:v>120.36836308306063</c:v>
                </c:pt>
                <c:pt idx="228">
                  <c:v>120.84702550081332</c:v>
                </c:pt>
                <c:pt idx="229">
                  <c:v>121.32658996640039</c:v>
                </c:pt>
                <c:pt idx="230">
                  <c:v>121.80705207745606</c:v>
                </c:pt>
                <c:pt idx="231">
                  <c:v>122.2884074312188</c:v>
                </c:pt>
                <c:pt idx="232">
                  <c:v>122.77065162459658</c:v>
                </c:pt>
                <c:pt idx="233">
                  <c:v>123.25378025423157</c:v>
                </c:pt>
                <c:pt idx="234">
                  <c:v>123.73778891656441</c:v>
                </c:pt>
                <c:pt idx="235">
                  <c:v>124.22267320789796</c:v>
                </c:pt>
                <c:pt idx="236">
                  <c:v>124.70842872446062</c:v>
                </c:pt>
                <c:pt idx="237">
                  <c:v>125.19505106246916</c:v>
                </c:pt>
                <c:pt idx="238">
                  <c:v>125.68253581819111</c:v>
                </c:pt>
                <c:pt idx="239">
                  <c:v>126.17087858800662</c:v>
                </c:pt>
                <c:pt idx="240">
                  <c:v>126.66007496846986</c:v>
                </c:pt>
                <c:pt idx="241">
                  <c:v>127.15012055637003</c:v>
                </c:pt>
                <c:pt idx="242">
                  <c:v>127.64101094879179</c:v>
                </c:pt>
                <c:pt idx="243">
                  <c:v>128.13274174317527</c:v>
                </c:pt>
                <c:pt idx="244">
                  <c:v>128.62530853737567</c:v>
                </c:pt>
                <c:pt idx="245">
                  <c:v>129.11870692972226</c:v>
                </c:pt>
                <c:pt idx="246">
                  <c:v>129.61293251907699</c:v>
                </c:pt>
                <c:pt idx="247">
                  <c:v>130.1079809048926</c:v>
                </c:pt>
                <c:pt idx="248">
                  <c:v>130.60384768727036</c:v>
                </c:pt>
                <c:pt idx="249">
                  <c:v>131.10052846701723</c:v>
                </c:pt>
                <c:pt idx="250">
                  <c:v>131.59801884570251</c:v>
                </c:pt>
                <c:pt idx="251">
                  <c:v>132.09631404900452</c:v>
                </c:pt>
                <c:pt idx="252">
                  <c:v>132.59540854992068</c:v>
                </c:pt>
                <c:pt idx="253">
                  <c:v>133.09529644582136</c:v>
                </c:pt>
                <c:pt idx="254">
                  <c:v>133.59597183565205</c:v>
                </c:pt>
                <c:pt idx="255">
                  <c:v>134.09742882001325</c:v>
                </c:pt>
                <c:pt idx="256">
                  <c:v>134.59966150123964</c:v>
                </c:pt>
                <c:pt idx="257">
                  <c:v>135.10266398347841</c:v>
                </c:pt>
                <c:pt idx="258">
                  <c:v>135.60643037276691</c:v>
                </c:pt>
                <c:pt idx="259">
                  <c:v>136.11095477710944</c:v>
                </c:pt>
                <c:pt idx="260">
                  <c:v>136.61623130655337</c:v>
                </c:pt>
                <c:pt idx="261">
                  <c:v>137.12225407326449</c:v>
                </c:pt>
                <c:pt idx="262">
                  <c:v>137.62901719160152</c:v>
                </c:pt>
                <c:pt idx="263">
                  <c:v>138.13651477818999</c:v>
                </c:pt>
                <c:pt idx="264">
                  <c:v>138.64474095199517</c:v>
                </c:pt>
                <c:pt idx="265">
                  <c:v>139.15368983439453</c:v>
                </c:pt>
                <c:pt idx="266">
                  <c:v>139.6633555492491</c:v>
                </c:pt>
                <c:pt idx="267">
                  <c:v>140.17373222297448</c:v>
                </c:pt>
                <c:pt idx="268">
                  <c:v>140.68481398461066</c:v>
                </c:pt>
                <c:pt idx="269">
                  <c:v>141.19659496589148</c:v>
                </c:pt>
                <c:pt idx="270">
                  <c:v>141.70906930131312</c:v>
                </c:pt>
                <c:pt idx="271">
                  <c:v>142.22223112820186</c:v>
                </c:pt>
                <c:pt idx="272">
                  <c:v>142.73607458678123</c:v>
                </c:pt>
                <c:pt idx="273">
                  <c:v>143.25059382023824</c:v>
                </c:pt>
                <c:pt idx="274">
                  <c:v>143.76578297478898</c:v>
                </c:pt>
                <c:pt idx="275">
                  <c:v>144.28163619974353</c:v>
                </c:pt>
                <c:pt idx="276">
                  <c:v>144.79814764756995</c:v>
                </c:pt>
                <c:pt idx="277">
                  <c:v>145.31531147395773</c:v>
                </c:pt>
                <c:pt idx="278">
                  <c:v>145.83312183788044</c:v>
                </c:pt>
                <c:pt idx="279">
                  <c:v>146.35157290165753</c:v>
                </c:pt>
                <c:pt idx="280">
                  <c:v>146.87065883101562</c:v>
                </c:pt>
                <c:pt idx="281">
                  <c:v>147.39037379514886</c:v>
                </c:pt>
                <c:pt idx="282">
                  <c:v>147.91071196677873</c:v>
                </c:pt>
                <c:pt idx="283">
                  <c:v>148.43166752221305</c:v>
                </c:pt>
                <c:pt idx="284">
                  <c:v>148.95323464140418</c:v>
                </c:pt>
                <c:pt idx="285">
                  <c:v>149.47540750800664</c:v>
                </c:pt>
                <c:pt idx="286">
                  <c:v>149.99818030943396</c:v>
                </c:pt>
                <c:pt idx="287">
                  <c:v>150.52154723691484</c:v>
                </c:pt>
                <c:pt idx="288">
                  <c:v>151.0455024855485</c:v>
                </c:pt>
                <c:pt idx="289">
                  <c:v>151.57004025435947</c:v>
                </c:pt>
                <c:pt idx="290">
                  <c:v>152.09515474635154</c:v>
                </c:pt>
                <c:pt idx="291">
                  <c:v>152.62084016856113</c:v>
                </c:pt>
                <c:pt idx="292">
                  <c:v>153.14709073210986</c:v>
                </c:pt>
                <c:pt idx="293">
                  <c:v>153.67390065225641</c:v>
                </c:pt>
                <c:pt idx="294">
                  <c:v>154.20126414844779</c:v>
                </c:pt>
                <c:pt idx="295">
                  <c:v>154.72917544436984</c:v>
                </c:pt>
                <c:pt idx="296">
                  <c:v>155.25762876799701</c:v>
                </c:pt>
                <c:pt idx="297">
                  <c:v>155.78661835164152</c:v>
                </c:pt>
                <c:pt idx="298">
                  <c:v>156.31613422100625</c:v>
                </c:pt>
                <c:pt idx="299">
                  <c:v>156.84615798481107</c:v>
                </c:pt>
                <c:pt idx="300">
                  <c:v>157.37666705251925</c:v>
                </c:pt>
                <c:pt idx="301">
                  <c:v>157.90763885173769</c:v>
                </c:pt>
                <c:pt idx="302">
                  <c:v>158.43905082875517</c:v>
                </c:pt>
                <c:pt idx="303">
                  <c:v>158.97088044907176</c:v>
                </c:pt>
                <c:pt idx="304">
                  <c:v>159.50310519791901</c:v>
                </c:pt>
                <c:pt idx="305">
                  <c:v>160.03570258077116</c:v>
                </c:pt>
                <c:pt idx="306">
                  <c:v>160.56865012384731</c:v>
                </c:pt>
                <c:pt idx="307">
                  <c:v>161.10192537460455</c:v>
                </c:pt>
                <c:pt idx="308">
                  <c:v>161.63550590222215</c:v>
                </c:pt>
                <c:pt idx="309">
                  <c:v>162.1693692980767</c:v>
                </c:pt>
                <c:pt idx="310">
                  <c:v>162.70349317620841</c:v>
                </c:pt>
                <c:pt idx="311">
                  <c:v>163.23785517377834</c:v>
                </c:pt>
                <c:pt idx="312">
                  <c:v>163.77243295151683</c:v>
                </c:pt>
                <c:pt idx="313">
                  <c:v>164.30720419416301</c:v>
                </c:pt>
                <c:pt idx="314">
                  <c:v>164.84214661089541</c:v>
                </c:pt>
                <c:pt idx="315">
                  <c:v>165.37723793575384</c:v>
                </c:pt>
                <c:pt idx="316">
                  <c:v>165.91245592805234</c:v>
                </c:pt>
                <c:pt idx="317">
                  <c:v>166.44777837278343</c:v>
                </c:pt>
                <c:pt idx="318">
                  <c:v>166.98318308101364</c:v>
                </c:pt>
                <c:pt idx="319">
                  <c:v>167.51864789027016</c:v>
                </c:pt>
                <c:pt idx="320">
                  <c:v>168.05415066491906</c:v>
                </c:pt>
                <c:pt idx="321">
                  <c:v>168.58967098455386</c:v>
                </c:pt>
                <c:pt idx="322">
                  <c:v>169.12519183097083</c:v>
                </c:pt>
                <c:pt idx="323">
                  <c:v>169.66069789605311</c:v>
                </c:pt>
                <c:pt idx="324">
                  <c:v>170.19617389094972</c:v>
                </c:pt>
                <c:pt idx="325">
                  <c:v>170.73160454621097</c:v>
                </c:pt>
                <c:pt idx="326">
                  <c:v>171.26697461191989</c:v>
                </c:pt>
                <c:pt idx="327">
                  <c:v>171.80226885781954</c:v>
                </c:pt>
                <c:pt idx="328">
                  <c:v>172.33747207343657</c:v>
                </c:pt>
                <c:pt idx="329">
                  <c:v>172.87256906820073</c:v>
                </c:pt>
                <c:pt idx="330">
                  <c:v>173.40754467156054</c:v>
                </c:pt>
                <c:pt idx="331">
                  <c:v>173.94238373309503</c:v>
                </c:pt>
                <c:pt idx="332">
                  <c:v>174.47707112262168</c:v>
                </c:pt>
                <c:pt idx="333">
                  <c:v>175.01159173030049</c:v>
                </c:pt>
                <c:pt idx="334">
                  <c:v>175.54593046673432</c:v>
                </c:pt>
                <c:pt idx="335">
                  <c:v>176.08007226306526</c:v>
                </c:pt>
                <c:pt idx="336">
                  <c:v>176.61400207106749</c:v>
                </c:pt>
                <c:pt idx="337">
                  <c:v>177.1477048632361</c:v>
                </c:pt>
                <c:pt idx="338">
                  <c:v>177.68116563287251</c:v>
                </c:pt>
                <c:pt idx="339">
                  <c:v>178.21436939416594</c:v>
                </c:pt>
                <c:pt idx="340">
                  <c:v>178.74730118227134</c:v>
                </c:pt>
                <c:pt idx="341">
                  <c:v>179.27994605338358</c:v>
                </c:pt>
                <c:pt idx="342">
                  <c:v>179.81228908480816</c:v>
                </c:pt>
                <c:pt idx="343">
                  <c:v>180.34431537502809</c:v>
                </c:pt>
                <c:pt idx="344">
                  <c:v>180.87601004376742</c:v>
                </c:pt>
                <c:pt idx="345">
                  <c:v>181.40735823205108</c:v>
                </c:pt>
                <c:pt idx="346">
                  <c:v>181.93834510226117</c:v>
                </c:pt>
                <c:pt idx="347">
                  <c:v>182.46895583818983</c:v>
                </c:pt>
                <c:pt idx="348">
                  <c:v>182.99917582865402</c:v>
                </c:pt>
                <c:pt idx="349">
                  <c:v>183.52899085086744</c:v>
                </c:pt>
                <c:pt idx="350">
                  <c:v>184.0583868863128</c:v>
                </c:pt>
                <c:pt idx="351">
                  <c:v>184.58734993684399</c:v>
                </c:pt>
                <c:pt idx="352">
                  <c:v>185.11586602471078</c:v>
                </c:pt>
                <c:pt idx="353">
                  <c:v>185.64392119258025</c:v>
                </c:pt>
                <c:pt idx="354">
                  <c:v>186.17150150355536</c:v>
                </c:pt>
                <c:pt idx="355">
                  <c:v>186.69859304119049</c:v>
                </c:pt>
                <c:pt idx="356">
                  <c:v>187.22518190950407</c:v>
                </c:pt>
                <c:pt idx="357">
                  <c:v>187.75125423298823</c:v>
                </c:pt>
                <c:pt idx="358">
                  <c:v>188.27679615661557</c:v>
                </c:pt>
                <c:pt idx="359">
                  <c:v>188.80179384584312</c:v>
                </c:pt>
                <c:pt idx="360">
                  <c:v>189.32623731750891</c:v>
                </c:pt>
                <c:pt idx="361">
                  <c:v>189.8501242651318</c:v>
                </c:pt>
                <c:pt idx="362">
                  <c:v>190.37345621466611</c:v>
                </c:pt>
                <c:pt idx="363">
                  <c:v>190.89623468586959</c:v>
                </c:pt>
                <c:pt idx="364">
                  <c:v>191.41846119233753</c:v>
                </c:pt>
                <c:pt idx="365">
                  <c:v>191.94013724153663</c:v>
                </c:pt>
                <c:pt idx="366">
                  <c:v>192.46126433483872</c:v>
                </c:pt>
                <c:pt idx="367">
                  <c:v>192.98184396755417</c:v>
                </c:pt>
                <c:pt idx="368">
                  <c:v>193.50187762896508</c:v>
                </c:pt>
                <c:pt idx="369">
                  <c:v>194.02136680235824</c:v>
                </c:pt>
                <c:pt idx="370">
                  <c:v>194.54031296505798</c:v>
                </c:pt>
                <c:pt idx="371">
                  <c:v>195.05871758845856</c:v>
                </c:pt>
                <c:pt idx="372">
                  <c:v>195.57658213805655</c:v>
                </c:pt>
                <c:pt idx="373">
                  <c:v>196.09390807348291</c:v>
                </c:pt>
                <c:pt idx="374">
                  <c:v>196.61069684853481</c:v>
                </c:pt>
                <c:pt idx="375">
                  <c:v>197.1269499112073</c:v>
                </c:pt>
                <c:pt idx="376">
                  <c:v>197.64266870372472</c:v>
                </c:pt>
                <c:pt idx="377">
                  <c:v>198.15785466257191</c:v>
                </c:pt>
                <c:pt idx="378">
                  <c:v>198.67250921852525</c:v>
                </c:pt>
                <c:pt idx="379">
                  <c:v>199.1866337966834</c:v>
                </c:pt>
                <c:pt idx="380">
                  <c:v>199.70022981649788</c:v>
                </c:pt>
                <c:pt idx="381">
                  <c:v>200.21329869180352</c:v>
                </c:pt>
                <c:pt idx="382">
                  <c:v>200.72584183084848</c:v>
                </c:pt>
                <c:pt idx="383">
                  <c:v>201.2378606363244</c:v>
                </c:pt>
                <c:pt idx="384">
                  <c:v>201.74935650539598</c:v>
                </c:pt>
                <c:pt idx="385">
                  <c:v>202.26033082973069</c:v>
                </c:pt>
                <c:pt idx="386">
                  <c:v>202.770784995528</c:v>
                </c:pt>
                <c:pt idx="387">
                  <c:v>203.28072038354867</c:v>
                </c:pt>
                <c:pt idx="388">
                  <c:v>203.79013836914362</c:v>
                </c:pt>
                <c:pt idx="389">
                  <c:v>204.29904032228276</c:v>
                </c:pt>
                <c:pt idx="390">
                  <c:v>204.80742760758358</c:v>
                </c:pt>
                <c:pt idx="391">
                  <c:v>205.31530158433947</c:v>
                </c:pt>
                <c:pt idx="392">
                  <c:v>205.82266360654799</c:v>
                </c:pt>
                <c:pt idx="393">
                  <c:v>206.32951502293886</c:v>
                </c:pt>
                <c:pt idx="394">
                  <c:v>206.83585717700183</c:v>
                </c:pt>
                <c:pt idx="395">
                  <c:v>207.3416914070142</c:v>
                </c:pt>
                <c:pt idx="396">
                  <c:v>207.84701904606843</c:v>
                </c:pt>
                <c:pt idx="397">
                  <c:v>208.35184142209934</c:v>
                </c:pt>
                <c:pt idx="398">
                  <c:v>208.85615985791122</c:v>
                </c:pt>
                <c:pt idx="399">
                  <c:v>209.35997567120472</c:v>
                </c:pt>
                <c:pt idx="400">
                  <c:v>209.86329017460363</c:v>
                </c:pt>
                <c:pt idx="401">
                  <c:v>214.86896444466802</c:v>
                </c:pt>
                <c:pt idx="402">
                  <c:v>219.82534868628761</c:v>
                </c:pt>
                <c:pt idx="403">
                  <c:v>224.73370848918685</c:v>
                </c:pt>
                <c:pt idx="404">
                  <c:v>229.5952620517923</c:v>
                </c:pt>
                <c:pt idx="405">
                  <c:v>234.4111825692278</c:v>
                </c:pt>
                <c:pt idx="406">
                  <c:v>239.18260047144855</c:v>
                </c:pt>
                <c:pt idx="407">
                  <c:v>243.91060552273649</c:v>
                </c:pt>
                <c:pt idx="408">
                  <c:v>248.59624879280662</c:v>
                </c:pt>
                <c:pt idx="409">
                  <c:v>253.24054450889594</c:v>
                </c:pt>
                <c:pt idx="410">
                  <c:v>257.84447179741449</c:v>
                </c:pt>
                <c:pt idx="411">
                  <c:v>262.40897632302153</c:v>
                </c:pt>
                <c:pt idx="412">
                  <c:v>266.93497183234126</c:v>
                </c:pt>
                <c:pt idx="413">
                  <c:v>271.42334160894427</c:v>
                </c:pt>
                <c:pt idx="414">
                  <c:v>275.87493984568789</c:v>
                </c:pt>
                <c:pt idx="415">
                  <c:v>280.29059294002292</c:v>
                </c:pt>
                <c:pt idx="416">
                  <c:v>284.67110071743383</c:v>
                </c:pt>
                <c:pt idx="417">
                  <c:v>289.01723758777712</c:v>
                </c:pt>
                <c:pt idx="418">
                  <c:v>293.32975363891694</c:v>
                </c:pt>
                <c:pt idx="419">
                  <c:v>297.60937567172181</c:v>
                </c:pt>
                <c:pt idx="420">
                  <c:v>301.85680818018142</c:v>
                </c:pt>
                <c:pt idx="421">
                  <c:v>306.07273428012309</c:v>
                </c:pt>
                <c:pt idx="422">
                  <c:v>310.2578165897508</c:v>
                </c:pt>
                <c:pt idx="423">
                  <c:v>314.41269806499633</c:v>
                </c:pt>
                <c:pt idx="424">
                  <c:v>318.53800279245559</c:v>
                </c:pt>
                <c:pt idx="425">
                  <c:v>322.63433674248705</c:v>
                </c:pt>
                <c:pt idx="426">
                  <c:v>326.70228848486647</c:v>
                </c:pt>
                <c:pt idx="427">
                  <c:v>330.74242986922542</c:v>
                </c:pt>
                <c:pt idx="428">
                  <c:v>334.75531667234787</c:v>
                </c:pt>
                <c:pt idx="429">
                  <c:v>338.74148921425621</c:v>
                </c:pt>
                <c:pt idx="430">
                  <c:v>342.70147294488822</c:v>
                </c:pt>
                <c:pt idx="431">
                  <c:v>346.6357790030458</c:v>
                </c:pt>
                <c:pt idx="432">
                  <c:v>350.54490474918396</c:v>
                </c:pt>
                <c:pt idx="433">
                  <c:v>354.42933427350653</c:v>
                </c:pt>
                <c:pt idx="434">
                  <c:v>358.28953888073875</c:v>
                </c:pt>
                <c:pt idx="435">
                  <c:v>362.12597755285896</c:v>
                </c:pt>
                <c:pt idx="436">
                  <c:v>365.93909739099018</c:v>
                </c:pt>
                <c:pt idx="437">
                  <c:v>369.72933403757509</c:v>
                </c:pt>
                <c:pt idx="438">
                  <c:v>373.49711207988906</c:v>
                </c:pt>
                <c:pt idx="439">
                  <c:v>377.24284543587942</c:v>
                </c:pt>
                <c:pt idx="440">
                  <c:v>380.96693772325835</c:v>
                </c:pt>
                <c:pt idx="441">
                  <c:v>384.66978261272084</c:v>
                </c:pt>
                <c:pt idx="442">
                  <c:v>388.35176416610562</c:v>
                </c:pt>
                <c:pt idx="443">
                  <c:v>392.01325716026878</c:v>
                </c:pt>
                <c:pt idx="444">
                  <c:v>395.65462739739371</c:v>
                </c:pt>
                <c:pt idx="445">
                  <c:v>399.27623200241794</c:v>
                </c:pt>
                <c:pt idx="446">
                  <c:v>402.87841970821876</c:v>
                </c:pt>
                <c:pt idx="447">
                  <c:v>406.46153112916136</c:v>
                </c:pt>
                <c:pt idx="448">
                  <c:v>410.0258990235792</c:v>
                </c:pt>
                <c:pt idx="449">
                  <c:v>413.57184854572336</c:v>
                </c:pt>
                <c:pt idx="450">
                  <c:v>417.09969748768799</c:v>
                </c:pt>
                <c:pt idx="451">
                  <c:v>420.60975651179012</c:v>
                </c:pt>
                <c:pt idx="452">
                  <c:v>424.10232937385547</c:v>
                </c:pt>
                <c:pt idx="453">
                  <c:v>427.57771313783746</c:v>
                </c:pt>
                <c:pt idx="454">
                  <c:v>431.0361983821727</c:v>
                </c:pt>
                <c:pt idx="455">
                  <c:v>434.478069398255</c:v>
                </c:pt>
                <c:pt idx="456">
                  <c:v>437.90360438138896</c:v>
                </c:pt>
                <c:pt idx="457">
                  <c:v>441.31307561456492</c:v>
                </c:pt>
                <c:pt idx="458">
                  <c:v>444.70674964537938</c:v>
                </c:pt>
                <c:pt idx="459">
                  <c:v>448.08488745640727</c:v>
                </c:pt>
                <c:pt idx="460">
                  <c:v>451.44774462931719</c:v>
                </c:pt>
                <c:pt idx="461">
                  <c:v>454.79557150300531</c:v>
                </c:pt>
                <c:pt idx="462">
                  <c:v>458.12861332600937</c:v>
                </c:pt>
                <c:pt idx="463">
                  <c:v>461.44711040345089</c:v>
                </c:pt>
                <c:pt idx="464">
                  <c:v>464.7512982387417</c:v>
                </c:pt>
                <c:pt idx="465">
                  <c:v>468.04140767027809</c:v>
                </c:pt>
                <c:pt idx="466">
                  <c:v>471.31766500333561</c:v>
                </c:pt>
                <c:pt idx="467">
                  <c:v>474.5802921373662</c:v>
                </c:pt>
                <c:pt idx="468">
                  <c:v>477.82950668889026</c:v>
                </c:pt>
                <c:pt idx="469">
                  <c:v>481.06552211016611</c:v>
                </c:pt>
                <c:pt idx="470">
                  <c:v>484.28854780381073</c:v>
                </c:pt>
                <c:pt idx="471">
                  <c:v>487.49878923353742</c:v>
                </c:pt>
                <c:pt idx="472">
                  <c:v>490.69644803116785</c:v>
                </c:pt>
                <c:pt idx="473">
                  <c:v>493.88172210006871</c:v>
                </c:pt>
                <c:pt idx="474">
                  <c:v>497.05480571515568</c:v>
                </c:pt>
                <c:pt idx="475">
                  <c:v>500.21588961960111</c:v>
                </c:pt>
                <c:pt idx="476">
                  <c:v>503.36516111837551</c:v>
                </c:pt>
                <c:pt idx="477">
                  <c:v>506.50280416874614</c:v>
                </c:pt>
                <c:pt idx="478">
                  <c:v>509.6289994678516</c:v>
                </c:pt>
                <c:pt idx="479">
                  <c:v>512.74392453746464</c:v>
                </c:pt>
                <c:pt idx="480">
                  <c:v>515.84775380605083</c:v>
                </c:pt>
                <c:pt idx="481">
                  <c:v>518.94065868822588</c:v>
                </c:pt>
                <c:pt idx="482">
                  <c:v>522.02280766170986</c:v>
                </c:pt>
                <c:pt idx="483">
                  <c:v>525.09436634187159</c:v>
                </c:pt>
                <c:pt idx="484">
                  <c:v>528.15549755395296</c:v>
                </c:pt>
                <c:pt idx="485">
                  <c:v>531.20636140305885</c:v>
                </c:pt>
                <c:pt idx="486">
                  <c:v>534.24711534199412</c:v>
                </c:pt>
                <c:pt idx="487">
                  <c:v>537.27791423702558</c:v>
                </c:pt>
                <c:pt idx="488">
                  <c:v>540.29891043164469</c:v>
                </c:pt>
                <c:pt idx="489">
                  <c:v>543.31025380840072</c:v>
                </c:pt>
                <c:pt idx="490">
                  <c:v>546.31209184887462</c:v>
                </c:pt>
                <c:pt idx="491">
                  <c:v>549.3045696918573</c:v>
                </c:pt>
                <c:pt idx="492">
                  <c:v>552.28783018979641</c:v>
                </c:pt>
                <c:pt idx="493">
                  <c:v>555.26201396356987</c:v>
                </c:pt>
                <c:pt idx="494">
                  <c:v>558.22725945564503</c:v>
                </c:pt>
                <c:pt idx="495">
                  <c:v>561.18370298167679</c:v>
                </c:pt>
                <c:pt idx="496">
                  <c:v>564.13147878059817</c:v>
                </c:pt>
                <c:pt idx="497">
                  <c:v>567.07071906325359</c:v>
                </c:pt>
                <c:pt idx="498">
                  <c:v>570.00155405962187</c:v>
                </c:pt>
                <c:pt idx="499">
                  <c:v>572.92411206467568</c:v>
                </c:pt>
                <c:pt idx="500">
                  <c:v>575.83851948292227</c:v>
                </c:pt>
                <c:pt idx="501">
                  <c:v>578.74490087166532</c:v>
                </c:pt>
                <c:pt idx="502">
                  <c:v>581.64337898303108</c:v>
                </c:pt>
                <c:pt idx="503">
                  <c:v>584.5340748047945</c:v>
                </c:pt>
                <c:pt idx="504">
                  <c:v>587.4171076000448</c:v>
                </c:pt>
                <c:pt idx="505">
                  <c:v>590.29259494572341</c:v>
                </c:pt>
                <c:pt idx="506">
                  <c:v>593.1606527700701</c:v>
                </c:pt>
                <c:pt idx="507">
                  <c:v>596.02139538900735</c:v>
                </c:pt>
                <c:pt idx="508">
                  <c:v>598.87493554149569</c:v>
                </c:pt>
                <c:pt idx="509">
                  <c:v>601.72138442388791</c:v>
                </c:pt>
                <c:pt idx="510">
                  <c:v>604.56085172331052</c:v>
                </c:pt>
                <c:pt idx="511">
                  <c:v>607.39344565009901</c:v>
                </c:pt>
                <c:pt idx="512">
                  <c:v>610.2192729693129</c:v>
                </c:pt>
                <c:pt idx="513">
                  <c:v>613.03843903135316</c:v>
                </c:pt>
                <c:pt idx="514">
                  <c:v>615.85104780170673</c:v>
                </c:pt>
                <c:pt idx="515">
                  <c:v>618.65720188983801</c:v>
                </c:pt>
                <c:pt idx="516">
                  <c:v>621.45700257724889</c:v>
                </c:pt>
                <c:pt idx="517">
                  <c:v>624.25054984472661</c:v>
                </c:pt>
                <c:pt idx="518">
                  <c:v>627.03794239879733</c:v>
                </c:pt>
                <c:pt idx="519">
                  <c:v>629.81927769740207</c:v>
                </c:pt>
                <c:pt idx="520">
                  <c:v>632.59465197481234</c:v>
                </c:pt>
                <c:pt idx="521">
                  <c:v>635.36416026579877</c:v>
                </c:pt>
                <c:pt idx="522">
                  <c:v>638.12789642906773</c:v>
                </c:pt>
                <c:pt idx="523">
                  <c:v>640.88595316997771</c:v>
                </c:pt>
                <c:pt idx="524">
                  <c:v>643.6384220625481</c:v>
                </c:pt>
                <c:pt idx="525">
                  <c:v>646.38539357076979</c:v>
                </c:pt>
                <c:pt idx="526">
                  <c:v>649.12695706922773</c:v>
                </c:pt>
                <c:pt idx="527">
                  <c:v>651.86320086304329</c:v>
                </c:pt>
                <c:pt idx="528">
                  <c:v>654.5942122071441</c:v>
                </c:pt>
                <c:pt idx="529">
                  <c:v>657.32007732486647</c:v>
                </c:pt>
                <c:pt idx="530">
                  <c:v>660.04088142589626</c:v>
                </c:pt>
                <c:pt idx="531">
                  <c:v>662.7567087235509</c:v>
                </c:pt>
                <c:pt idx="532">
                  <c:v>665.46764245140525</c:v>
                </c:pt>
                <c:pt idx="533">
                  <c:v>668.17376487926231</c:v>
                </c:pt>
                <c:pt idx="534">
                  <c:v>670.8751573284685</c:v>
                </c:pt>
                <c:pt idx="535">
                  <c:v>673.5719001865715</c:v>
                </c:pt>
                <c:pt idx="536">
                  <c:v>676.26407292131842</c:v>
                </c:pt>
                <c:pt idx="537">
                  <c:v>678.9517540939878</c:v>
                </c:pt>
                <c:pt idx="538">
                  <c:v>681.63502137205137</c:v>
                </c:pt>
                <c:pt idx="539">
                  <c:v>684.31395154115592</c:v>
                </c:pt>
                <c:pt idx="540">
                  <c:v>686.98862051641663</c:v>
                </c:pt>
                <c:pt idx="541">
                  <c:v>689.6591033530093</c:v>
                </c:pt>
                <c:pt idx="542">
                  <c:v>692.32547425604901</c:v>
                </c:pt>
                <c:pt idx="543">
                  <c:v>694.98780658973874</c:v>
                </c:pt>
                <c:pt idx="544">
                  <c:v>697.64617288577062</c:v>
                </c:pt>
                <c:pt idx="545">
                  <c:v>700.30064485095943</c:v>
                </c:pt>
                <c:pt idx="546">
                  <c:v>702.95129337408548</c:v>
                </c:pt>
                <c:pt idx="547">
                  <c:v>705.59818853192223</c:v>
                </c:pt>
                <c:pt idx="548">
                  <c:v>708.24139959441948</c:v>
                </c:pt>
                <c:pt idx="549">
                  <c:v>710.88099502901207</c:v>
                </c:pt>
                <c:pt idx="550">
                  <c:v>713.51704250401872</c:v>
                </c:pt>
                <c:pt idx="551">
                  <c:v>716.14960889109432</c:v>
                </c:pt>
                <c:pt idx="552">
                  <c:v>718.77876026669378</c:v>
                </c:pt>
                <c:pt idx="553">
                  <c:v>721.40456191250212</c:v>
                </c:pt>
                <c:pt idx="554">
                  <c:v>724.02707831478244</c:v>
                </c:pt>
                <c:pt idx="555">
                  <c:v>726.64637316258745</c:v>
                </c:pt>
                <c:pt idx="556">
                  <c:v>729.26250934477753</c:v>
                </c:pt>
                <c:pt idx="557">
                  <c:v>731.87554894578193</c:v>
                </c:pt>
                <c:pt idx="558">
                  <c:v>734.48555324003689</c:v>
                </c:pt>
                <c:pt idx="559">
                  <c:v>737.09258268502663</c:v>
                </c:pt>
                <c:pt idx="560">
                  <c:v>739.6966969128506</c:v>
                </c:pt>
                <c:pt idx="561">
                  <c:v>742.29795472023432</c:v>
                </c:pt>
                <c:pt idx="562">
                  <c:v>744.89641405689383</c:v>
                </c:pt>
                <c:pt idx="563">
                  <c:v>747.49213201216219</c:v>
                </c:pt>
                <c:pt idx="564">
                  <c:v>750.08516479977777</c:v>
                </c:pt>
                <c:pt idx="565">
                  <c:v>752.67556774073171</c:v>
                </c:pt>
                <c:pt idx="566">
                  <c:v>755.26339524406649</c:v>
                </c:pt>
                <c:pt idx="567">
                  <c:v>757.84870078551387</c:v>
                </c:pt>
                <c:pt idx="568">
                  <c:v>760.43153688385837</c:v>
                </c:pt>
                <c:pt idx="569">
                  <c:v>763.0119550749107</c:v>
                </c:pt>
                <c:pt idx="570">
                  <c:v>765.59000588297613</c:v>
                </c:pt>
                <c:pt idx="571">
                  <c:v>768.16573878970428</c:v>
                </c:pt>
                <c:pt idx="572">
                  <c:v>770.73920220021375</c:v>
                </c:pt>
                <c:pt idx="573">
                  <c:v>773.31044340639141</c:v>
                </c:pt>
                <c:pt idx="574">
                  <c:v>775.87950854727978</c:v>
                </c:pt>
                <c:pt idx="575">
                  <c:v>778.44644256648314</c:v>
                </c:pt>
                <c:pt idx="576">
                  <c:v>781.01128916654432</c:v>
                </c:pt>
                <c:pt idx="577">
                  <c:v>783.57409076027557</c:v>
                </c:pt>
                <c:pt idx="578">
                  <c:v>786.13488841906167</c:v>
                </c:pt>
                <c:pt idx="579">
                  <c:v>788.69372181819892</c:v>
                </c:pt>
                <c:pt idx="580">
                  <c:v>791.2506291793876</c:v>
                </c:pt>
                <c:pt idx="581">
                  <c:v>793.80564721055828</c:v>
                </c:pt>
                <c:pt idx="582">
                  <c:v>796.35881104328519</c:v>
                </c:pt>
                <c:pt idx="583">
                  <c:v>798.91015416812252</c:v>
                </c:pt>
                <c:pt idx="584">
                  <c:v>801.45970836828997</c:v>
                </c:pt>
                <c:pt idx="585">
                  <c:v>804.00750365223075</c:v>
                </c:pt>
                <c:pt idx="586">
                  <c:v>806.55356818567009</c:v>
                </c:pt>
                <c:pt idx="587">
                  <c:v>809.09792822390193</c:v>
                </c:pt>
                <c:pt idx="588">
                  <c:v>811.64060804513463</c:v>
                </c:pt>
                <c:pt idx="589">
                  <c:v>814.1816298858156</c:v>
                </c:pt>
                <c:pt idx="590">
                  <c:v>816.72101387893269</c:v>
                </c:pt>
                <c:pt idx="591">
                  <c:v>819.25877799634372</c:v>
                </c:pt>
                <c:pt idx="592">
                  <c:v>821.79493799621412</c:v>
                </c:pt>
                <c:pt idx="593">
                  <c:v>824.32950737663396</c:v>
                </c:pt>
                <c:pt idx="594">
                  <c:v>826.86249733644399</c:v>
                </c:pt>
                <c:pt idx="595">
                  <c:v>829.39391674421199</c:v>
                </c:pt>
                <c:pt idx="596">
                  <c:v>831.923772116176</c:v>
                </c:pt>
                <c:pt idx="597">
                  <c:v>834.45206760380654</c:v>
                </c:pt>
                <c:pt idx="598">
                  <c:v>836.97880499144617</c:v>
                </c:pt>
                <c:pt idx="599">
                  <c:v>839.50398370426228</c:v>
                </c:pt>
                <c:pt idx="600">
                  <c:v>842.02760082652242</c:v>
                </c:pt>
                <c:pt idx="601">
                  <c:v>844.54965112996513</c:v>
                </c:pt>
                <c:pt idx="602">
                  <c:v>847.07012711182233</c:v>
                </c:pt>
                <c:pt idx="603">
                  <c:v>849.58901904184813</c:v>
                </c:pt>
                <c:pt idx="604">
                  <c:v>852.10631501754335</c:v>
                </c:pt>
                <c:pt idx="605">
                  <c:v>854.62200102663428</c:v>
                </c:pt>
                <c:pt idx="606">
                  <c:v>857.13606101577454</c:v>
                </c:pt>
                <c:pt idx="607">
                  <c:v>859.6484769643929</c:v>
                </c:pt>
                <c:pt idx="608">
                  <c:v>862.15922896259747</c:v>
                </c:pt>
                <c:pt idx="609">
                  <c:v>864.66829529207632</c:v>
                </c:pt>
                <c:pt idx="610">
                  <c:v>867.17565250898417</c:v>
                </c:pt>
                <c:pt idx="611">
                  <c:v>869.68127552788496</c:v>
                </c:pt>
                <c:pt idx="612">
                  <c:v>872.18513770591051</c:v>
                </c:pt>
                <c:pt idx="613">
                  <c:v>874.68721092639623</c:v>
                </c:pt>
                <c:pt idx="614">
                  <c:v>877.18746568136157</c:v>
                </c:pt>
                <c:pt idx="615">
                  <c:v>879.68587115230628</c:v>
                </c:pt>
                <c:pt idx="616">
                  <c:v>882.18239528889296</c:v>
                </c:pt>
                <c:pt idx="617">
                  <c:v>884.67700488518142</c:v>
                </c:pt>
                <c:pt idx="618">
                  <c:v>887.16966565316159</c:v>
                </c:pt>
                <c:pt idx="619">
                  <c:v>889.66034229340869</c:v>
                </c:pt>
                <c:pt idx="620">
                  <c:v>892.14899856274917</c:v>
                </c:pt>
                <c:pt idx="621">
                  <c:v>894.63559733887871</c:v>
                </c:pt>
                <c:pt idx="622">
                  <c:v>897.12010068192228</c:v>
                </c:pt>
                <c:pt idx="623">
                  <c:v>899.60246989296206</c:v>
                </c:pt>
                <c:pt idx="624">
                  <c:v>902.08266556958824</c:v>
                </c:pt>
                <c:pt idx="625">
                  <c:v>904.56064765855376</c:v>
                </c:pt>
                <c:pt idx="626">
                  <c:v>907.03637550562712</c:v>
                </c:pt>
                <c:pt idx="627">
                  <c:v>909.50980790275446</c:v>
                </c:pt>
                <c:pt idx="628">
                  <c:v>911.98090313264674</c:v>
                </c:pt>
                <c:pt idx="629">
                  <c:v>914.44961901091517</c:v>
                </c:pt>
                <c:pt idx="630">
                  <c:v>916.91591292587964</c:v>
                </c:pt>
                <c:pt idx="631">
                  <c:v>919.37974187617465</c:v>
                </c:pt>
                <c:pt idx="632">
                  <c:v>921.8410625062761</c:v>
                </c:pt>
                <c:pt idx="633">
                  <c:v>924.29983114006995</c:v>
                </c:pt>
                <c:pt idx="634">
                  <c:v>926.75600381257823</c:v>
                </c:pt>
                <c:pt idx="635">
                  <c:v>929.2095362999554</c:v>
                </c:pt>
                <c:pt idx="636">
                  <c:v>931.66038414786181</c:v>
                </c:pt>
                <c:pt idx="637">
                  <c:v>934.10850269831565</c:v>
                </c:pt>
                <c:pt idx="638">
                  <c:v>936.55384711512045</c:v>
                </c:pt>
                <c:pt idx="639">
                  <c:v>938.99637240795823</c:v>
                </c:pt>
                <c:pt idx="640">
                  <c:v>941.43603345523479</c:v>
                </c:pt>
                <c:pt idx="641">
                  <c:v>943.87278502575646</c:v>
                </c:pt>
                <c:pt idx="642">
                  <c:v>946.30658179931402</c:v>
                </c:pt>
                <c:pt idx="643">
                  <c:v>948.73737838624379</c:v>
                </c:pt>
                <c:pt idx="644">
                  <c:v>951.16512934603156</c:v>
                </c:pt>
                <c:pt idx="645">
                  <c:v>953.58978920502057</c:v>
                </c:pt>
                <c:pt idx="646">
                  <c:v>956.0113124732801</c:v>
                </c:pt>
                <c:pt idx="647">
                  <c:v>958.42965366068813</c:v>
                </c:pt>
                <c:pt idx="648">
                  <c:v>960.84476729227708</c:v>
                </c:pt>
                <c:pt idx="649">
                  <c:v>963.25660792288807</c:v>
                </c:pt>
                <c:pt idx="650">
                  <c:v>965.66513015117721</c:v>
                </c:pt>
                <c:pt idx="651">
                  <c:v>968.0702886330123</c:v>
                </c:pt>
                <c:pt idx="652">
                  <c:v>970.47203809429755</c:v>
                </c:pt>
                <c:pt idx="653">
                  <c:v>972.87033334325952</c:v>
                </c:pt>
                <c:pt idx="654">
                  <c:v>975.26512928222689</c:v>
                </c:pt>
                <c:pt idx="655">
                  <c:v>977.65638091893254</c:v>
                </c:pt>
                <c:pt idx="656">
                  <c:v>980.04404337736571</c:v>
                </c:pt>
                <c:pt idx="657">
                  <c:v>982.42807190819951</c:v>
                </c:pt>
                <c:pt idx="658">
                  <c:v>984.80842189881719</c:v>
                </c:pt>
                <c:pt idx="659">
                  <c:v>987.18504888295899</c:v>
                </c:pt>
                <c:pt idx="660">
                  <c:v>989.55790855001021</c:v>
                </c:pt>
                <c:pt idx="661">
                  <c:v>991.92695675394873</c:v>
                </c:pt>
                <c:pt idx="662">
                  <c:v>994.29214952197026</c:v>
                </c:pt>
                <c:pt idx="663">
                  <c:v>996.65344306280724</c:v>
                </c:pt>
                <c:pt idx="664">
                  <c:v>999.01079377475673</c:v>
                </c:pt>
                <c:pt idx="665">
                  <c:v>1001.364158253431</c:v>
                </c:pt>
                <c:pt idx="666">
                  <c:v>1003.7134932992449</c:v>
                </c:pt>
                <c:pt idx="667">
                  <c:v>1006.058755924651</c:v>
                </c:pt>
                <c:pt idx="668">
                  <c:v>1008.3999033611357</c:v>
                </c:pt>
                <c:pt idx="669">
                  <c:v>1010.7368930659845</c:v>
                </c:pt>
                <c:pt idx="670">
                  <c:v>1013.0696827288293</c:v>
                </c:pt>
                <c:pt idx="671">
                  <c:v>1015.3982302779842</c:v>
                </c:pt>
                <c:pt idx="672">
                  <c:v>1017.7224938865804</c:v>
                </c:pt>
                <c:pt idx="673">
                  <c:v>1020.0424319785077</c:v>
                </c:pt>
                <c:pt idx="674">
                  <c:v>1022.3580032341696</c:v>
                </c:pt>
                <c:pt idx="675">
                  <c:v>1024.66916659606</c:v>
                </c:pt>
                <c:pt idx="676">
                  <c:v>1026.9758812741673</c:v>
                </c:pt>
                <c:pt idx="677">
                  <c:v>1029.2781067512126</c:v>
                </c:pt>
                <c:pt idx="678">
                  <c:v>1031.5758027877282</c:v>
                </c:pt>
                <c:pt idx="679">
                  <c:v>1033.86892942698</c:v>
                </c:pt>
                <c:pt idx="680">
                  <c:v>1036.1574469997411</c:v>
                </c:pt>
                <c:pt idx="681">
                  <c:v>1038.4413161289208</c:v>
                </c:pt>
                <c:pt idx="682">
                  <c:v>1040.7204977340516</c:v>
                </c:pt>
                <c:pt idx="683">
                  <c:v>1042.9949530356414</c:v>
                </c:pt>
                <c:pt idx="684">
                  <c:v>1045.2646435593927</c:v>
                </c:pt>
                <c:pt idx="685">
                  <c:v>1047.5295311402933</c:v>
                </c:pt>
                <c:pt idx="686">
                  <c:v>1049.7895779265821</c:v>
                </c:pt>
                <c:pt idx="687">
                  <c:v>1052.0447463835922</c:v>
                </c:pt>
                <c:pt idx="688">
                  <c:v>1054.294999297477</c:v>
                </c:pt>
                <c:pt idx="689">
                  <c:v>1056.5402997788192</c:v>
                </c:pt>
                <c:pt idx="690">
                  <c:v>1058.7806112661262</c:v>
                </c:pt>
                <c:pt idx="691">
                  <c:v>1061.0158975292175</c:v>
                </c:pt>
                <c:pt idx="692">
                  <c:v>1063.2461226725013</c:v>
                </c:pt>
                <c:pt idx="693">
                  <c:v>1065.4712511381483</c:v>
                </c:pt>
                <c:pt idx="694">
                  <c:v>1067.6912477091596</c:v>
                </c:pt>
                <c:pt idx="695">
                  <c:v>1069.9060775123351</c:v>
                </c:pt>
                <c:pt idx="696">
                  <c:v>1072.1157060211417</c:v>
                </c:pt>
                <c:pt idx="697">
                  <c:v>1074.3200990584846</c:v>
                </c:pt>
                <c:pt idx="698">
                  <c:v>1076.5192227993823</c:v>
                </c:pt>
                <c:pt idx="699">
                  <c:v>1078.7130437735491</c:v>
                </c:pt>
                <c:pt idx="700">
                  <c:v>1080.9015288678836</c:v>
                </c:pt>
                <c:pt idx="701">
                  <c:v>1083.0846453288675</c:v>
                </c:pt>
                <c:pt idx="702">
                  <c:v>1085.2623607648757</c:v>
                </c:pt>
                <c:pt idx="703">
                  <c:v>1087.4346431483971</c:v>
                </c:pt>
                <c:pt idx="704">
                  <c:v>1089.6014608181699</c:v>
                </c:pt>
                <c:pt idx="705">
                  <c:v>1091.7627824812325</c:v>
                </c:pt>
                <c:pt idx="706">
                  <c:v>1093.9185772148887</c:v>
                </c:pt>
                <c:pt idx="707">
                  <c:v>1096.0688144685914</c:v>
                </c:pt>
                <c:pt idx="708">
                  <c:v>1098.2134640657448</c:v>
                </c:pt>
                <c:pt idx="709">
                  <c:v>1100.3524962054257</c:v>
                </c:pt>
                <c:pt idx="710">
                  <c:v>1102.4858814640263</c:v>
                </c:pt>
                <c:pt idx="711">
                  <c:v>1104.6135907968169</c:v>
                </c:pt>
                <c:pt idx="712">
                  <c:v>1106.7355955394337</c:v>
                </c:pt>
                <c:pt idx="713">
                  <c:v>1108.8518674092884</c:v>
                </c:pt>
                <c:pt idx="714">
                  <c:v>1110.9623785069032</c:v>
                </c:pt>
                <c:pt idx="715">
                  <c:v>1113.0671013171711</c:v>
                </c:pt>
                <c:pt idx="716">
                  <c:v>1115.1660087105433</c:v>
                </c:pt>
                <c:pt idx="717">
                  <c:v>1117.2590739441428</c:v>
                </c:pt>
                <c:pt idx="718">
                  <c:v>1119.3462706628065</c:v>
                </c:pt>
                <c:pt idx="719">
                  <c:v>1121.4275729000574</c:v>
                </c:pt>
                <c:pt idx="720">
                  <c:v>1123.5029550790043</c:v>
                </c:pt>
                <c:pt idx="721">
                  <c:v>1125.572392013175</c:v>
                </c:pt>
                <c:pt idx="722">
                  <c:v>1127.6358589072781</c:v>
                </c:pt>
                <c:pt idx="723">
                  <c:v>1129.6933313578986</c:v>
                </c:pt>
                <c:pt idx="724">
                  <c:v>1131.744785354126</c:v>
                </c:pt>
                <c:pt idx="725">
                  <c:v>1133.7901972781156</c:v>
                </c:pt>
                <c:pt idx="726">
                  <c:v>1135.8295439055848</c:v>
                </c:pt>
                <c:pt idx="727">
                  <c:v>1137.8628024062443</c:v>
                </c:pt>
                <c:pt idx="728">
                  <c:v>1139.8899503441646</c:v>
                </c:pt>
                <c:pt idx="729">
                  <c:v>1141.9109656780797</c:v>
                </c:pt>
                <c:pt idx="730">
                  <c:v>1143.9258267616276</c:v>
                </c:pt>
                <c:pt idx="731">
                  <c:v>1145.9345123435287</c:v>
                </c:pt>
                <c:pt idx="732">
                  <c:v>1147.937001567703</c:v>
                </c:pt>
                <c:pt idx="733">
                  <c:v>1149.9332739733263</c:v>
                </c:pt>
                <c:pt idx="734">
                  <c:v>1151.9233094948265</c:v>
                </c:pt>
                <c:pt idx="735">
                  <c:v>1153.9070884618206</c:v>
                </c:pt>
                <c:pt idx="736">
                  <c:v>1155.8845915989928</c:v>
                </c:pt>
                <c:pt idx="737">
                  <c:v>1157.8558000259138</c:v>
                </c:pt>
                <c:pt idx="738">
                  <c:v>1159.8206952568055</c:v>
                </c:pt>
                <c:pt idx="739">
                  <c:v>1161.7792592002447</c:v>
                </c:pt>
                <c:pt idx="740">
                  <c:v>1163.731474158815</c:v>
                </c:pt>
                <c:pt idx="741">
                  <c:v>1165.6773228287</c:v>
                </c:pt>
                <c:pt idx="742">
                  <c:v>1167.6167882992236</c:v>
                </c:pt>
                <c:pt idx="743">
                  <c:v>1169.5498540523358</c:v>
                </c:pt>
                <c:pt idx="744">
                  <c:v>1171.4765039620452</c:v>
                </c:pt>
                <c:pt idx="745">
                  <c:v>1173.3967222937979</c:v>
                </c:pt>
                <c:pt idx="746">
                  <c:v>1175.3104937038054</c:v>
                </c:pt>
                <c:pt idx="747">
                  <c:v>1177.2178032383208</c:v>
                </c:pt>
                <c:pt idx="748">
                  <c:v>1179.1186363328634</c:v>
                </c:pt>
                <c:pt idx="749">
                  <c:v>1181.0129788113941</c:v>
                </c:pt>
                <c:pt idx="750">
                  <c:v>1182.9008168854409</c:v>
                </c:pt>
                <c:pt idx="751">
                  <c:v>1184.7821371531759</c:v>
                </c:pt>
                <c:pt idx="752">
                  <c:v>1186.6569265984433</c:v>
                </c:pt>
                <c:pt idx="753">
                  <c:v>1188.525172589741</c:v>
                </c:pt>
                <c:pt idx="754">
                  <c:v>1190.3868628791547</c:v>
                </c:pt>
                <c:pt idx="755">
                  <c:v>1192.2419856012461</c:v>
                </c:pt>
                <c:pt idx="756">
                  <c:v>1194.0905292718953</c:v>
                </c:pt>
                <c:pt idx="757">
                  <c:v>1195.9324827870985</c:v>
                </c:pt>
                <c:pt idx="758">
                  <c:v>1197.7678354217214</c:v>
                </c:pt>
                <c:pt idx="759">
                  <c:v>1199.5965768282101</c:v>
                </c:pt>
                <c:pt idx="760">
                  <c:v>1201.4186970352571</c:v>
                </c:pt>
                <c:pt idx="761">
                  <c:v>1203.234186446427</c:v>
                </c:pt>
                <c:pt idx="762">
                  <c:v>1205.0430358387396</c:v>
                </c:pt>
                <c:pt idx="763">
                  <c:v>1206.845236361213</c:v>
                </c:pt>
                <c:pt idx="764">
                  <c:v>1208.6407795333653</c:v>
                </c:pt>
                <c:pt idx="765">
                  <c:v>1210.4296572436781</c:v>
                </c:pt>
                <c:pt idx="766">
                  <c:v>1212.2118617480207</c:v>
                </c:pt>
                <c:pt idx="767">
                  <c:v>1213.9873856680358</c:v>
                </c:pt>
                <c:pt idx="768">
                  <c:v>1215.7562219894876</c:v>
                </c:pt>
                <c:pt idx="769">
                  <c:v>1217.5183640605742</c:v>
                </c:pt>
                <c:pt idx="770">
                  <c:v>1219.2738055902028</c:v>
                </c:pt>
                <c:pt idx="771">
                  <c:v>1221.0225406462291</c:v>
                </c:pt>
                <c:pt idx="772">
                  <c:v>1222.7645636536638</c:v>
                </c:pt>
                <c:pt idx="773">
                  <c:v>1224.4998693928426</c:v>
                </c:pt>
                <c:pt idx="774">
                  <c:v>1226.2284529975641</c:v>
                </c:pt>
                <c:pt idx="775">
                  <c:v>1227.9503099531953</c:v>
                </c:pt>
                <c:pt idx="776">
                  <c:v>1229.6654360947437</c:v>
                </c:pt>
                <c:pt idx="777">
                  <c:v>1231.3738276048987</c:v>
                </c:pt>
                <c:pt idx="778">
                  <c:v>1233.0754810120427</c:v>
                </c:pt>
                <c:pt idx="779">
                  <c:v>1234.7703931882313</c:v>
                </c:pt>
                <c:pt idx="780">
                  <c:v>1236.4585613471443</c:v>
                </c:pt>
                <c:pt idx="781">
                  <c:v>1238.139983042008</c:v>
                </c:pt>
                <c:pt idx="782">
                  <c:v>1239.8146561634901</c:v>
                </c:pt>
                <c:pt idx="783">
                  <c:v>1241.4825789375661</c:v>
                </c:pt>
                <c:pt idx="784">
                  <c:v>1243.1437499233593</c:v>
                </c:pt>
                <c:pt idx="785">
                  <c:v>1244.7981680109554</c:v>
                </c:pt>
                <c:pt idx="786">
                  <c:v>1246.4458324191905</c:v>
                </c:pt>
                <c:pt idx="787">
                  <c:v>1248.0867426934155</c:v>
                </c:pt>
                <c:pt idx="788">
                  <c:v>1249.7208987032361</c:v>
                </c:pt>
                <c:pt idx="789">
                  <c:v>1251.3483006402284</c:v>
                </c:pt>
                <c:pt idx="790">
                  <c:v>1252.9689490156336</c:v>
                </c:pt>
                <c:pt idx="791">
                  <c:v>1254.5828446580285</c:v>
                </c:pt>
                <c:pt idx="792">
                  <c:v>1256.1899887109764</c:v>
                </c:pt>
                <c:pt idx="793">
                  <c:v>1257.7903826306556</c:v>
                </c:pt>
                <c:pt idx="794">
                  <c:v>1259.3840281834691</c:v>
                </c:pt>
                <c:pt idx="795">
                  <c:v>1260.9709274436336</c:v>
                </c:pt>
                <c:pt idx="796">
                  <c:v>1262.5510827907506</c:v>
                </c:pt>
                <c:pt idx="797">
                  <c:v>1264.1244969073584</c:v>
                </c:pt>
                <c:pt idx="798">
                  <c:v>1265.6911727764675</c:v>
                </c:pt>
                <c:pt idx="799">
                  <c:v>1267.2511136790777</c:v>
                </c:pt>
                <c:pt idx="800">
                  <c:v>1268.8043231916799</c:v>
                </c:pt>
                <c:pt idx="801">
                  <c:v>1270.3508051837423</c:v>
                </c:pt>
                <c:pt idx="802">
                  <c:v>1271.89056381518</c:v>
                </c:pt>
                <c:pt idx="803">
                  <c:v>1273.4236035338124</c:v>
                </c:pt>
                <c:pt idx="804">
                  <c:v>1274.9499290728045</c:v>
                </c:pt>
                <c:pt idx="805">
                  <c:v>1276.4695454480964</c:v>
                </c:pt>
                <c:pt idx="806">
                  <c:v>1277.9824579558197</c:v>
                </c:pt>
                <c:pt idx="807">
                  <c:v>1279.4886721697017</c:v>
                </c:pt>
                <c:pt idx="808">
                  <c:v>1280.9881939384579</c:v>
                </c:pt>
                <c:pt idx="809">
                  <c:v>1282.4810293831749</c:v>
                </c:pt>
                <c:pt idx="810">
                  <c:v>1283.9671848946816</c:v>
                </c:pt>
                <c:pt idx="811">
                  <c:v>1285.4466671309108</c:v>
                </c:pt>
                <c:pt idx="812">
                  <c:v>1286.919483014253</c:v>
                </c:pt>
                <c:pt idx="813">
                  <c:v>1288.3856397289003</c:v>
                </c:pt>
                <c:pt idx="814">
                  <c:v>1289.8451447181826</c:v>
                </c:pt>
                <c:pt idx="815">
                  <c:v>1291.2980056818972</c:v>
                </c:pt>
                <c:pt idx="816">
                  <c:v>1292.7442305736304</c:v>
                </c:pt>
                <c:pt idx="817">
                  <c:v>1294.183827598074</c:v>
                </c:pt>
                <c:pt idx="818">
                  <c:v>1295.6168052083349</c:v>
                </c:pt>
                <c:pt idx="819">
                  <c:v>1297.0431721032401</c:v>
                </c:pt>
                <c:pt idx="820">
                  <c:v>1298.462937224637</c:v>
                </c:pt>
                <c:pt idx="821">
                  <c:v>1299.8761097546897</c:v>
                </c:pt>
                <c:pt idx="822">
                  <c:v>1301.2826991131712</c:v>
                </c:pt>
                <c:pt idx="823">
                  <c:v>1302.6827149547535</c:v>
                </c:pt>
                <c:pt idx="824">
                  <c:v>1304.0761671662933</c:v>
                </c:pt>
                <c:pt idx="825">
                  <c:v>1305.4630658641181</c:v>
                </c:pt>
                <c:pt idx="826">
                  <c:v>1306.8434213913083</c:v>
                </c:pt>
                <c:pt idx="827">
                  <c:v>1308.2172443149802</c:v>
                </c:pt>
                <c:pt idx="828">
                  <c:v>1309.5845454235671</c:v>
                </c:pt>
                <c:pt idx="829">
                  <c:v>1310.9453357241007</c:v>
                </c:pt>
                <c:pt idx="830">
                  <c:v>1312.2996264394937</c:v>
                </c:pt>
                <c:pt idx="831">
                  <c:v>1313.6474290058222</c:v>
                </c:pt>
                <c:pt idx="832">
                  <c:v>1314.9887550696089</c:v>
                </c:pt>
                <c:pt idx="833">
                  <c:v>1316.3236164851105</c:v>
                </c:pt>
                <c:pt idx="834">
                  <c:v>1317.6520253116046</c:v>
                </c:pt>
                <c:pt idx="835">
                  <c:v>1318.9739938106809</c:v>
                </c:pt>
                <c:pt idx="836">
                  <c:v>1320.2895344435353</c:v>
                </c:pt>
                <c:pt idx="837">
                  <c:v>1321.5986598682671</c:v>
                </c:pt>
                <c:pt idx="838">
                  <c:v>1322.90138293718</c:v>
                </c:pt>
                <c:pt idx="839">
                  <c:v>1324.197716694089</c:v>
                </c:pt>
                <c:pt idx="840">
                  <c:v>1325.48767437163</c:v>
                </c:pt>
                <c:pt idx="841">
                  <c:v>1326.7712693885762</c:v>
                </c:pt>
                <c:pt idx="842">
                  <c:v>1328.04851534716</c:v>
                </c:pt>
                <c:pt idx="843">
                  <c:v>1329.3194260303992</c:v>
                </c:pt>
                <c:pt idx="844">
                  <c:v>1330.5840153994322</c:v>
                </c:pt>
                <c:pt idx="845">
                  <c:v>1331.8422975908584</c:v>
                </c:pt>
                <c:pt idx="846">
                  <c:v>1333.0942869140852</c:v>
                </c:pt>
                <c:pt idx="847">
                  <c:v>1334.3399978486848</c:v>
                </c:pt>
                <c:pt idx="848">
                  <c:v>1335.5794450417561</c:v>
                </c:pt>
                <c:pt idx="849">
                  <c:v>1336.8126433052969</c:v>
                </c:pt>
                <c:pt idx="850">
                  <c:v>1338.0396076135842</c:v>
                </c:pt>
                <c:pt idx="851">
                  <c:v>1339.2603531005623</c:v>
                </c:pt>
                <c:pt idx="852">
                  <c:v>1340.4748950572416</c:v>
                </c:pt>
                <c:pt idx="853">
                  <c:v>1341.6832489291066</c:v>
                </c:pt>
                <c:pt idx="854">
                  <c:v>1342.8854303135333</c:v>
                </c:pt>
                <c:pt idx="855">
                  <c:v>1344.0814549572171</c:v>
                </c:pt>
                <c:pt idx="856">
                  <c:v>1345.2713387536112</c:v>
                </c:pt>
                <c:pt idx="857">
                  <c:v>1346.455097740376</c:v>
                </c:pt>
                <c:pt idx="858">
                  <c:v>1347.6327480968396</c:v>
                </c:pt>
                <c:pt idx="859">
                  <c:v>1348.8043061414689</c:v>
                </c:pt>
                <c:pt idx="860">
                  <c:v>1349.9697883293538</c:v>
                </c:pt>
                <c:pt idx="861">
                  <c:v>1351.1292112497019</c:v>
                </c:pt>
                <c:pt idx="862">
                  <c:v>1352.2825916233467</c:v>
                </c:pt>
                <c:pt idx="863">
                  <c:v>1353.4299463002667</c:v>
                </c:pt>
                <c:pt idx="864">
                  <c:v>1354.5712922571192</c:v>
                </c:pt>
                <c:pt idx="865">
                  <c:v>1355.7066465947851</c:v>
                </c:pt>
                <c:pt idx="866">
                  <c:v>1356.8360265359283</c:v>
                </c:pt>
                <c:pt idx="867">
                  <c:v>1357.9594494225682</c:v>
                </c:pt>
                <c:pt idx="868">
                  <c:v>1359.076932713665</c:v>
                </c:pt>
                <c:pt idx="869">
                  <c:v>1360.18849398272</c:v>
                </c:pt>
                <c:pt idx="870">
                  <c:v>1361.29415091539</c:v>
                </c:pt>
                <c:pt idx="871">
                  <c:v>1362.3939213071146</c:v>
                </c:pt>
                <c:pt idx="872">
                  <c:v>1363.4878230607599</c:v>
                </c:pt>
                <c:pt idx="873">
                  <c:v>1364.5758741842753</c:v>
                </c:pt>
                <c:pt idx="874">
                  <c:v>1365.6580927883667</c:v>
                </c:pt>
                <c:pt idx="875">
                  <c:v>1366.7344970841827</c:v>
                </c:pt>
                <c:pt idx="876">
                  <c:v>1367.8051053810186</c:v>
                </c:pt>
                <c:pt idx="877">
                  <c:v>1368.8699360840337</c:v>
                </c:pt>
                <c:pt idx="878">
                  <c:v>1369.9290076919849</c:v>
                </c:pt>
                <c:pt idx="879">
                  <c:v>1370.9823387949766</c:v>
                </c:pt>
                <c:pt idx="880">
                  <c:v>1372.0299480722256</c:v>
                </c:pt>
                <c:pt idx="881">
                  <c:v>1373.0718542898428</c:v>
                </c:pt>
                <c:pt idx="882">
                  <c:v>1374.1080762986305</c:v>
                </c:pt>
                <c:pt idx="883">
                  <c:v>1375.1386330318962</c:v>
                </c:pt>
                <c:pt idx="884">
                  <c:v>1376.1635435032829</c:v>
                </c:pt>
                <c:pt idx="885">
                  <c:v>1377.1828268046158</c:v>
                </c:pt>
                <c:pt idx="886">
                  <c:v>1378.1965021037665</c:v>
                </c:pt>
                <c:pt idx="887">
                  <c:v>1379.2045886425324</c:v>
                </c:pt>
                <c:pt idx="888">
                  <c:v>1380.2071057345345</c:v>
                </c:pt>
                <c:pt idx="889">
                  <c:v>1381.2040727631313</c:v>
                </c:pt>
                <c:pt idx="890">
                  <c:v>1382.1955091793507</c:v>
                </c:pt>
                <c:pt idx="891">
                  <c:v>1383.1814344998379</c:v>
                </c:pt>
                <c:pt idx="892">
                  <c:v>1384.1618683048216</c:v>
                </c:pt>
                <c:pt idx="893">
                  <c:v>1385.136830236097</c:v>
                </c:pt>
                <c:pt idx="894">
                  <c:v>1386.1063399950265</c:v>
                </c:pt>
                <c:pt idx="895">
                  <c:v>1387.0704173405577</c:v>
                </c:pt>
                <c:pt idx="896">
                  <c:v>1388.0290820872594</c:v>
                </c:pt>
                <c:pt idx="897">
                  <c:v>1388.982354103375</c:v>
                </c:pt>
                <c:pt idx="898">
                  <c:v>1389.9302533088926</c:v>
                </c:pt>
                <c:pt idx="899">
                  <c:v>1390.872799673635</c:v>
                </c:pt>
                <c:pt idx="900">
                  <c:v>1391.8100132153659</c:v>
                </c:pt>
                <c:pt idx="901">
                  <c:v>1392.7419139979138</c:v>
                </c:pt>
                <c:pt idx="902">
                  <c:v>1393.6685221293151</c:v>
                </c:pt>
                <c:pt idx="903">
                  <c:v>1394.5898577599735</c:v>
                </c:pt>
                <c:pt idx="904">
                  <c:v>1395.505941080839</c:v>
                </c:pt>
                <c:pt idx="905">
                  <c:v>1396.4167923216035</c:v>
                </c:pt>
                <c:pt idx="906">
                  <c:v>1397.3224317489146</c:v>
                </c:pt>
                <c:pt idx="907">
                  <c:v>1398.2228796646084</c:v>
                </c:pt>
                <c:pt idx="908">
                  <c:v>1399.1181564039596</c:v>
                </c:pt>
                <c:pt idx="909">
                  <c:v>1400.0082823339487</c:v>
                </c:pt>
                <c:pt idx="910">
                  <c:v>1400.8932778515493</c:v>
                </c:pt>
                <c:pt idx="911">
                  <c:v>1401.7731633820315</c:v>
                </c:pt>
                <c:pt idx="912">
                  <c:v>1402.6479593772849</c:v>
                </c:pt>
                <c:pt idx="913">
                  <c:v>1403.517686314158</c:v>
                </c:pt>
                <c:pt idx="914">
                  <c:v>1404.3823646928172</c:v>
                </c:pt>
                <c:pt idx="915">
                  <c:v>1405.2420150351224</c:v>
                </c:pt>
                <c:pt idx="916">
                  <c:v>1406.0966578830221</c:v>
                </c:pt>
                <c:pt idx="917">
                  <c:v>1406.9463137969649</c:v>
                </c:pt>
                <c:pt idx="918">
                  <c:v>1407.7910033543296</c:v>
                </c:pt>
                <c:pt idx="919">
                  <c:v>1408.6307471478742</c:v>
                </c:pt>
                <c:pt idx="920">
                  <c:v>1409.4655657842004</c:v>
                </c:pt>
                <c:pt idx="921">
                  <c:v>1410.2954798822386</c:v>
                </c:pt>
                <c:pt idx="922">
                  <c:v>1411.1205100717489</c:v>
                </c:pt>
                <c:pt idx="923">
                  <c:v>1411.9406769918407</c:v>
                </c:pt>
                <c:pt idx="924">
                  <c:v>1412.7560012895096</c:v>
                </c:pt>
                <c:pt idx="925">
                  <c:v>1413.5665036181922</c:v>
                </c:pt>
                <c:pt idx="926">
                  <c:v>1414.3722046363384</c:v>
                </c:pt>
                <c:pt idx="927">
                  <c:v>1415.1731250060018</c:v>
                </c:pt>
                <c:pt idx="928">
                  <c:v>1415.9692853914469</c:v>
                </c:pt>
                <c:pt idx="929">
                  <c:v>1416.7607064577739</c:v>
                </c:pt>
                <c:pt idx="930">
                  <c:v>1416.7607064577739</c:v>
                </c:pt>
                <c:pt idx="931">
                  <c:v>1416.7607064577739</c:v>
                </c:pt>
                <c:pt idx="932">
                  <c:v>1416.7607064577739</c:v>
                </c:pt>
                <c:pt idx="933">
                  <c:v>1416.7607064577739</c:v>
                </c:pt>
                <c:pt idx="934">
                  <c:v>1416.7607064577739</c:v>
                </c:pt>
                <c:pt idx="935">
                  <c:v>1416.7607064577739</c:v>
                </c:pt>
                <c:pt idx="936">
                  <c:v>1416.7607064577739</c:v>
                </c:pt>
                <c:pt idx="937">
                  <c:v>1416.7607064577739</c:v>
                </c:pt>
                <c:pt idx="938">
                  <c:v>1416.7607064577739</c:v>
                </c:pt>
                <c:pt idx="939">
                  <c:v>1416.7607064577739</c:v>
                </c:pt>
                <c:pt idx="940">
                  <c:v>1416.7607064577739</c:v>
                </c:pt>
                <c:pt idx="941">
                  <c:v>1416.7607064577739</c:v>
                </c:pt>
                <c:pt idx="942">
                  <c:v>1416.7607064577739</c:v>
                </c:pt>
                <c:pt idx="943">
                  <c:v>1416.7607064577739</c:v>
                </c:pt>
                <c:pt idx="944">
                  <c:v>1416.7607064577739</c:v>
                </c:pt>
                <c:pt idx="945">
                  <c:v>1416.7607064577739</c:v>
                </c:pt>
                <c:pt idx="946">
                  <c:v>1416.7607064577739</c:v>
                </c:pt>
                <c:pt idx="947">
                  <c:v>1416.7607064577739</c:v>
                </c:pt>
                <c:pt idx="948">
                  <c:v>1416.7607064577739</c:v>
                </c:pt>
                <c:pt idx="949">
                  <c:v>1416.7607064577739</c:v>
                </c:pt>
                <c:pt idx="950">
                  <c:v>1416.7607064577739</c:v>
                </c:pt>
                <c:pt idx="951">
                  <c:v>1416.7607064577739</c:v>
                </c:pt>
                <c:pt idx="952">
                  <c:v>1416.7607064577739</c:v>
                </c:pt>
                <c:pt idx="953">
                  <c:v>1416.7607064577739</c:v>
                </c:pt>
                <c:pt idx="954">
                  <c:v>1416.7607064577739</c:v>
                </c:pt>
                <c:pt idx="955">
                  <c:v>1416.7607064577739</c:v>
                </c:pt>
                <c:pt idx="956">
                  <c:v>1416.7607064577739</c:v>
                </c:pt>
                <c:pt idx="957">
                  <c:v>1416.7607064577739</c:v>
                </c:pt>
                <c:pt idx="958">
                  <c:v>1416.7607064577739</c:v>
                </c:pt>
                <c:pt idx="959">
                  <c:v>1416.7607064577739</c:v>
                </c:pt>
                <c:pt idx="960">
                  <c:v>1416.7607064577739</c:v>
                </c:pt>
                <c:pt idx="961">
                  <c:v>1416.7607064577739</c:v>
                </c:pt>
                <c:pt idx="962">
                  <c:v>1416.7607064577739</c:v>
                </c:pt>
                <c:pt idx="963">
                  <c:v>1416.7607064577739</c:v>
                </c:pt>
                <c:pt idx="964">
                  <c:v>1416.7607064577739</c:v>
                </c:pt>
                <c:pt idx="965">
                  <c:v>1416.7607064577739</c:v>
                </c:pt>
                <c:pt idx="966">
                  <c:v>1416.7607064577739</c:v>
                </c:pt>
                <c:pt idx="967">
                  <c:v>1416.7607064577739</c:v>
                </c:pt>
                <c:pt idx="968">
                  <c:v>1416.7607064577739</c:v>
                </c:pt>
                <c:pt idx="969">
                  <c:v>1416.7607064577739</c:v>
                </c:pt>
                <c:pt idx="970">
                  <c:v>1416.7607064577739</c:v>
                </c:pt>
                <c:pt idx="971">
                  <c:v>1416.7607064577739</c:v>
                </c:pt>
                <c:pt idx="972">
                  <c:v>1416.7607064577739</c:v>
                </c:pt>
                <c:pt idx="973">
                  <c:v>1416.7607064577739</c:v>
                </c:pt>
                <c:pt idx="974">
                  <c:v>1416.7607064577739</c:v>
                </c:pt>
                <c:pt idx="975">
                  <c:v>1416.7607064577739</c:v>
                </c:pt>
                <c:pt idx="976">
                  <c:v>1416.7607064577739</c:v>
                </c:pt>
                <c:pt idx="977">
                  <c:v>1416.7607064577739</c:v>
                </c:pt>
                <c:pt idx="978">
                  <c:v>1416.7607064577739</c:v>
                </c:pt>
                <c:pt idx="979">
                  <c:v>1416.7607064577739</c:v>
                </c:pt>
                <c:pt idx="980">
                  <c:v>1416.7607064577739</c:v>
                </c:pt>
                <c:pt idx="981">
                  <c:v>1416.7607064577739</c:v>
                </c:pt>
                <c:pt idx="982">
                  <c:v>1416.7607064577739</c:v>
                </c:pt>
                <c:pt idx="983">
                  <c:v>1416.7607064577739</c:v>
                </c:pt>
                <c:pt idx="984">
                  <c:v>1416.7607064577739</c:v>
                </c:pt>
                <c:pt idx="985">
                  <c:v>1416.7607064577739</c:v>
                </c:pt>
                <c:pt idx="986">
                  <c:v>1416.7607064577739</c:v>
                </c:pt>
                <c:pt idx="987">
                  <c:v>1416.7607064577739</c:v>
                </c:pt>
                <c:pt idx="988">
                  <c:v>1416.7607064577739</c:v>
                </c:pt>
                <c:pt idx="989">
                  <c:v>1416.7607064577739</c:v>
                </c:pt>
                <c:pt idx="990">
                  <c:v>1416.7607064577739</c:v>
                </c:pt>
                <c:pt idx="991">
                  <c:v>1416.7607064577739</c:v>
                </c:pt>
                <c:pt idx="992">
                  <c:v>1416.7607064577739</c:v>
                </c:pt>
                <c:pt idx="993">
                  <c:v>1416.7607064577739</c:v>
                </c:pt>
                <c:pt idx="994">
                  <c:v>1416.7607064577739</c:v>
                </c:pt>
                <c:pt idx="995">
                  <c:v>1416.7607064577739</c:v>
                </c:pt>
                <c:pt idx="996">
                  <c:v>1416.7607064577739</c:v>
                </c:pt>
                <c:pt idx="997">
                  <c:v>1416.7607064577739</c:v>
                </c:pt>
                <c:pt idx="998">
                  <c:v>1416.7607064577739</c:v>
                </c:pt>
                <c:pt idx="999">
                  <c:v>1416.7607064577739</c:v>
                </c:pt>
                <c:pt idx="1000">
                  <c:v>1416.7607064577739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0-41C6-97FC-918778B11BA0}"/>
            </c:ext>
          </c:extLst>
        </c:ser>
        <c:ser>
          <c:idx val="1"/>
          <c:order val="1"/>
          <c:tx>
            <c:strRef>
              <c:f>Courbes!$B$143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4</c:v>
                </c:pt>
                <c:pt idx="1">
                  <c:v>4.01</c:v>
                </c:pt>
                <c:pt idx="2">
                  <c:v>4.0199999999999996</c:v>
                </c:pt>
                <c:pt idx="3">
                  <c:v>4.0299999999999994</c:v>
                </c:pt>
                <c:pt idx="4">
                  <c:v>4.0399999999999991</c:v>
                </c:pt>
                <c:pt idx="5">
                  <c:v>4.0499999999999989</c:v>
                </c:pt>
                <c:pt idx="6">
                  <c:v>4.0599999999999987</c:v>
                </c:pt>
                <c:pt idx="7">
                  <c:v>4.0699999999999985</c:v>
                </c:pt>
                <c:pt idx="8">
                  <c:v>4.0799999999999983</c:v>
                </c:pt>
                <c:pt idx="9">
                  <c:v>4.0899999999999981</c:v>
                </c:pt>
                <c:pt idx="10">
                  <c:v>4.0999999999999979</c:v>
                </c:pt>
                <c:pt idx="11">
                  <c:v>4.1099999999999977</c:v>
                </c:pt>
                <c:pt idx="12">
                  <c:v>4.1199999999999974</c:v>
                </c:pt>
                <c:pt idx="13">
                  <c:v>4.1299999999999972</c:v>
                </c:pt>
                <c:pt idx="14">
                  <c:v>4.139999999999997</c:v>
                </c:pt>
                <c:pt idx="15">
                  <c:v>4.1499999999999968</c:v>
                </c:pt>
                <c:pt idx="16">
                  <c:v>4.1599999999999966</c:v>
                </c:pt>
                <c:pt idx="17">
                  <c:v>4.1699999999999964</c:v>
                </c:pt>
                <c:pt idx="18">
                  <c:v>4.1799999999999962</c:v>
                </c:pt>
                <c:pt idx="19">
                  <c:v>4.1899999999999959</c:v>
                </c:pt>
                <c:pt idx="20">
                  <c:v>4.1999999999999957</c:v>
                </c:pt>
                <c:pt idx="21">
                  <c:v>4.2099999999999955</c:v>
                </c:pt>
                <c:pt idx="22">
                  <c:v>4.2199999999999953</c:v>
                </c:pt>
                <c:pt idx="23">
                  <c:v>4.2299999999999951</c:v>
                </c:pt>
                <c:pt idx="24">
                  <c:v>4.2399999999999949</c:v>
                </c:pt>
                <c:pt idx="25">
                  <c:v>4.2499999999999947</c:v>
                </c:pt>
                <c:pt idx="26">
                  <c:v>4.2599999999999945</c:v>
                </c:pt>
                <c:pt idx="27">
                  <c:v>4.2699999999999942</c:v>
                </c:pt>
                <c:pt idx="28">
                  <c:v>4.279999999999994</c:v>
                </c:pt>
                <c:pt idx="29">
                  <c:v>4.2899999999999938</c:v>
                </c:pt>
                <c:pt idx="30">
                  <c:v>4.2999999999999936</c:v>
                </c:pt>
                <c:pt idx="31">
                  <c:v>4.3099999999999934</c:v>
                </c:pt>
                <c:pt idx="32">
                  <c:v>4.3199999999999932</c:v>
                </c:pt>
                <c:pt idx="33">
                  <c:v>4.329999999999993</c:v>
                </c:pt>
                <c:pt idx="34">
                  <c:v>4.3399999999999928</c:v>
                </c:pt>
                <c:pt idx="35">
                  <c:v>4.3499999999999925</c:v>
                </c:pt>
                <c:pt idx="36">
                  <c:v>4.3599999999999923</c:v>
                </c:pt>
                <c:pt idx="37">
                  <c:v>4.3699999999999921</c:v>
                </c:pt>
                <c:pt idx="38">
                  <c:v>4.3799999999999919</c:v>
                </c:pt>
                <c:pt idx="39">
                  <c:v>4.3899999999999917</c:v>
                </c:pt>
                <c:pt idx="40">
                  <c:v>4.3999999999999915</c:v>
                </c:pt>
                <c:pt idx="41">
                  <c:v>4.4099999999999913</c:v>
                </c:pt>
                <c:pt idx="42">
                  <c:v>4.419999999999991</c:v>
                </c:pt>
                <c:pt idx="43">
                  <c:v>4.4299999999999908</c:v>
                </c:pt>
                <c:pt idx="44">
                  <c:v>4.4399999999999906</c:v>
                </c:pt>
                <c:pt idx="45">
                  <c:v>4.4499999999999904</c:v>
                </c:pt>
                <c:pt idx="46">
                  <c:v>4.4599999999999902</c:v>
                </c:pt>
                <c:pt idx="47">
                  <c:v>4.46999999999999</c:v>
                </c:pt>
                <c:pt idx="48">
                  <c:v>4.4799999999999898</c:v>
                </c:pt>
                <c:pt idx="49">
                  <c:v>4.4899999999999896</c:v>
                </c:pt>
                <c:pt idx="50">
                  <c:v>4.4999999999999893</c:v>
                </c:pt>
                <c:pt idx="51">
                  <c:v>4.5099999999999891</c:v>
                </c:pt>
                <c:pt idx="52">
                  <c:v>4.5199999999999889</c:v>
                </c:pt>
                <c:pt idx="53">
                  <c:v>4.5299999999999887</c:v>
                </c:pt>
                <c:pt idx="54">
                  <c:v>4.5399999999999885</c:v>
                </c:pt>
                <c:pt idx="55">
                  <c:v>4.5499999999999883</c:v>
                </c:pt>
                <c:pt idx="56">
                  <c:v>4.5599999999999881</c:v>
                </c:pt>
                <c:pt idx="57">
                  <c:v>4.5699999999999878</c:v>
                </c:pt>
                <c:pt idx="58">
                  <c:v>4.5799999999999876</c:v>
                </c:pt>
                <c:pt idx="59">
                  <c:v>4.5899999999999874</c:v>
                </c:pt>
                <c:pt idx="60">
                  <c:v>4.5999999999999872</c:v>
                </c:pt>
                <c:pt idx="61">
                  <c:v>4.609999999999987</c:v>
                </c:pt>
                <c:pt idx="62">
                  <c:v>4.6199999999999868</c:v>
                </c:pt>
                <c:pt idx="63">
                  <c:v>4.6299999999999866</c:v>
                </c:pt>
                <c:pt idx="64">
                  <c:v>4.6399999999999864</c:v>
                </c:pt>
                <c:pt idx="65">
                  <c:v>4.6499999999999861</c:v>
                </c:pt>
                <c:pt idx="66">
                  <c:v>4.6599999999999859</c:v>
                </c:pt>
                <c:pt idx="67">
                  <c:v>4.6699999999999857</c:v>
                </c:pt>
                <c:pt idx="68">
                  <c:v>4.6799999999999855</c:v>
                </c:pt>
                <c:pt idx="69">
                  <c:v>4.6899999999999853</c:v>
                </c:pt>
                <c:pt idx="70">
                  <c:v>4.6999999999999851</c:v>
                </c:pt>
                <c:pt idx="71">
                  <c:v>4.7099999999999849</c:v>
                </c:pt>
                <c:pt idx="72">
                  <c:v>4.7199999999999847</c:v>
                </c:pt>
                <c:pt idx="73">
                  <c:v>4.7299999999999844</c:v>
                </c:pt>
                <c:pt idx="74">
                  <c:v>4.7399999999999842</c:v>
                </c:pt>
                <c:pt idx="75">
                  <c:v>4.749999999999984</c:v>
                </c:pt>
                <c:pt idx="76">
                  <c:v>4.7599999999999838</c:v>
                </c:pt>
                <c:pt idx="77">
                  <c:v>4.7699999999999836</c:v>
                </c:pt>
                <c:pt idx="78">
                  <c:v>4.7799999999999834</c:v>
                </c:pt>
                <c:pt idx="79">
                  <c:v>4.7899999999999832</c:v>
                </c:pt>
                <c:pt idx="80">
                  <c:v>4.7999999999999829</c:v>
                </c:pt>
                <c:pt idx="81">
                  <c:v>4.8099999999999827</c:v>
                </c:pt>
                <c:pt idx="82">
                  <c:v>4.8199999999999825</c:v>
                </c:pt>
                <c:pt idx="83">
                  <c:v>4.8299999999999823</c:v>
                </c:pt>
                <c:pt idx="84">
                  <c:v>4.8399999999999821</c:v>
                </c:pt>
                <c:pt idx="85">
                  <c:v>4.8499999999999819</c:v>
                </c:pt>
                <c:pt idx="86">
                  <c:v>4.8599999999999817</c:v>
                </c:pt>
                <c:pt idx="87">
                  <c:v>4.8699999999999815</c:v>
                </c:pt>
                <c:pt idx="88">
                  <c:v>4.8799999999999812</c:v>
                </c:pt>
                <c:pt idx="89">
                  <c:v>4.889999999999981</c:v>
                </c:pt>
                <c:pt idx="90">
                  <c:v>4.8999999999999808</c:v>
                </c:pt>
                <c:pt idx="91">
                  <c:v>4.9099999999999806</c:v>
                </c:pt>
                <c:pt idx="92">
                  <c:v>4.9199999999999804</c:v>
                </c:pt>
                <c:pt idx="93">
                  <c:v>4.9299999999999802</c:v>
                </c:pt>
                <c:pt idx="94">
                  <c:v>4.93999999999998</c:v>
                </c:pt>
                <c:pt idx="95">
                  <c:v>4.9499999999999797</c:v>
                </c:pt>
                <c:pt idx="96">
                  <c:v>4.9599999999999795</c:v>
                </c:pt>
                <c:pt idx="97">
                  <c:v>4.9699999999999793</c:v>
                </c:pt>
                <c:pt idx="98">
                  <c:v>4.9799999999999791</c:v>
                </c:pt>
                <c:pt idx="99">
                  <c:v>4.9899999999999789</c:v>
                </c:pt>
                <c:pt idx="100">
                  <c:v>4.9999999999999787</c:v>
                </c:pt>
                <c:pt idx="101">
                  <c:v>5.0099999999999785</c:v>
                </c:pt>
                <c:pt idx="102">
                  <c:v>5.0199999999999783</c:v>
                </c:pt>
                <c:pt idx="103">
                  <c:v>5.029999999999978</c:v>
                </c:pt>
                <c:pt idx="104">
                  <c:v>5.0399999999999778</c:v>
                </c:pt>
                <c:pt idx="105">
                  <c:v>5.0499999999999776</c:v>
                </c:pt>
                <c:pt idx="106">
                  <c:v>5.0599999999999774</c:v>
                </c:pt>
                <c:pt idx="107">
                  <c:v>5.0699999999999772</c:v>
                </c:pt>
                <c:pt idx="108">
                  <c:v>5.079999999999977</c:v>
                </c:pt>
                <c:pt idx="109">
                  <c:v>5.0899999999999768</c:v>
                </c:pt>
                <c:pt idx="110">
                  <c:v>5.0999999999999766</c:v>
                </c:pt>
                <c:pt idx="111">
                  <c:v>5.1099999999999763</c:v>
                </c:pt>
                <c:pt idx="112">
                  <c:v>5.1199999999999761</c:v>
                </c:pt>
                <c:pt idx="113">
                  <c:v>5.1299999999999759</c:v>
                </c:pt>
                <c:pt idx="114">
                  <c:v>5.1399999999999757</c:v>
                </c:pt>
                <c:pt idx="115">
                  <c:v>5.1499999999999755</c:v>
                </c:pt>
                <c:pt idx="116">
                  <c:v>5.1599999999999753</c:v>
                </c:pt>
                <c:pt idx="117">
                  <c:v>5.1699999999999751</c:v>
                </c:pt>
                <c:pt idx="118">
                  <c:v>5.1799999999999748</c:v>
                </c:pt>
                <c:pt idx="119">
                  <c:v>5.1899999999999746</c:v>
                </c:pt>
                <c:pt idx="120">
                  <c:v>5.1999999999999744</c:v>
                </c:pt>
                <c:pt idx="121">
                  <c:v>5.2099999999999742</c:v>
                </c:pt>
                <c:pt idx="122">
                  <c:v>5.219999999999974</c:v>
                </c:pt>
                <c:pt idx="123">
                  <c:v>5.2299999999999738</c:v>
                </c:pt>
                <c:pt idx="124">
                  <c:v>5.2399999999999736</c:v>
                </c:pt>
                <c:pt idx="125">
                  <c:v>5.2499999999999734</c:v>
                </c:pt>
                <c:pt idx="126">
                  <c:v>5.2599999999999731</c:v>
                </c:pt>
                <c:pt idx="127">
                  <c:v>5.2699999999999729</c:v>
                </c:pt>
                <c:pt idx="128">
                  <c:v>5.2799999999999727</c:v>
                </c:pt>
                <c:pt idx="129">
                  <c:v>5.2899999999999725</c:v>
                </c:pt>
                <c:pt idx="130">
                  <c:v>5.2999999999999723</c:v>
                </c:pt>
                <c:pt idx="131">
                  <c:v>5.3099999999999721</c:v>
                </c:pt>
                <c:pt idx="132">
                  <c:v>5.3199999999999719</c:v>
                </c:pt>
                <c:pt idx="133">
                  <c:v>5.3299999999999716</c:v>
                </c:pt>
                <c:pt idx="134">
                  <c:v>5.3399999999999714</c:v>
                </c:pt>
                <c:pt idx="135">
                  <c:v>5.3499999999999712</c:v>
                </c:pt>
                <c:pt idx="136">
                  <c:v>5.359999999999971</c:v>
                </c:pt>
                <c:pt idx="137">
                  <c:v>5.3699999999999708</c:v>
                </c:pt>
                <c:pt idx="138">
                  <c:v>5.3799999999999706</c:v>
                </c:pt>
                <c:pt idx="139">
                  <c:v>5.3899999999999704</c:v>
                </c:pt>
                <c:pt idx="140">
                  <c:v>5.3999999999999702</c:v>
                </c:pt>
                <c:pt idx="141">
                  <c:v>5.4099999999999699</c:v>
                </c:pt>
                <c:pt idx="142">
                  <c:v>5.4199999999999697</c:v>
                </c:pt>
                <c:pt idx="143">
                  <c:v>5.4299999999999695</c:v>
                </c:pt>
                <c:pt idx="144">
                  <c:v>5.4399999999999693</c:v>
                </c:pt>
                <c:pt idx="145">
                  <c:v>5.4499999999999691</c:v>
                </c:pt>
                <c:pt idx="146">
                  <c:v>5.4599999999999689</c:v>
                </c:pt>
                <c:pt idx="147">
                  <c:v>5.4699999999999687</c:v>
                </c:pt>
                <c:pt idx="148">
                  <c:v>5.4799999999999685</c:v>
                </c:pt>
                <c:pt idx="149">
                  <c:v>5.4899999999999682</c:v>
                </c:pt>
                <c:pt idx="150">
                  <c:v>5.499999999999968</c:v>
                </c:pt>
                <c:pt idx="151">
                  <c:v>5.5099999999999678</c:v>
                </c:pt>
                <c:pt idx="152">
                  <c:v>5.5199999999999676</c:v>
                </c:pt>
                <c:pt idx="153">
                  <c:v>5.5299999999999674</c:v>
                </c:pt>
                <c:pt idx="154">
                  <c:v>5.5399999999999672</c:v>
                </c:pt>
                <c:pt idx="155">
                  <c:v>5.549999999999967</c:v>
                </c:pt>
                <c:pt idx="156">
                  <c:v>5.5599999999999667</c:v>
                </c:pt>
                <c:pt idx="157">
                  <c:v>5.5699999999999665</c:v>
                </c:pt>
                <c:pt idx="158">
                  <c:v>5.5799999999999663</c:v>
                </c:pt>
                <c:pt idx="159">
                  <c:v>5.5899999999999661</c:v>
                </c:pt>
                <c:pt idx="160">
                  <c:v>5.5999999999999659</c:v>
                </c:pt>
                <c:pt idx="161">
                  <c:v>5.6099999999999657</c:v>
                </c:pt>
                <c:pt idx="162">
                  <c:v>5.6199999999999655</c:v>
                </c:pt>
                <c:pt idx="163">
                  <c:v>5.6299999999999653</c:v>
                </c:pt>
                <c:pt idx="164">
                  <c:v>5.639999999999965</c:v>
                </c:pt>
                <c:pt idx="165">
                  <c:v>5.6499999999999648</c:v>
                </c:pt>
                <c:pt idx="166">
                  <c:v>5.6599999999999646</c:v>
                </c:pt>
                <c:pt idx="167">
                  <c:v>5.6699999999999644</c:v>
                </c:pt>
                <c:pt idx="168">
                  <c:v>5.6799999999999642</c:v>
                </c:pt>
                <c:pt idx="169">
                  <c:v>5.689999999999964</c:v>
                </c:pt>
                <c:pt idx="170">
                  <c:v>5.6999999999999638</c:v>
                </c:pt>
                <c:pt idx="171">
                  <c:v>5.7099999999999635</c:v>
                </c:pt>
                <c:pt idx="172">
                  <c:v>5.7199999999999633</c:v>
                </c:pt>
                <c:pt idx="173">
                  <c:v>5.7299999999999631</c:v>
                </c:pt>
                <c:pt idx="174">
                  <c:v>5.7399999999999629</c:v>
                </c:pt>
                <c:pt idx="175">
                  <c:v>5.7499999999999627</c:v>
                </c:pt>
                <c:pt idx="176">
                  <c:v>5.7599999999999625</c:v>
                </c:pt>
                <c:pt idx="177">
                  <c:v>5.7699999999999623</c:v>
                </c:pt>
                <c:pt idx="178">
                  <c:v>5.7799999999999621</c:v>
                </c:pt>
                <c:pt idx="179">
                  <c:v>5.7899999999999618</c:v>
                </c:pt>
                <c:pt idx="180">
                  <c:v>5.7999999999999616</c:v>
                </c:pt>
                <c:pt idx="181">
                  <c:v>5.8099999999999614</c:v>
                </c:pt>
                <c:pt idx="182">
                  <c:v>5.8199999999999612</c:v>
                </c:pt>
                <c:pt idx="183">
                  <c:v>5.829999999999961</c:v>
                </c:pt>
                <c:pt idx="184">
                  <c:v>5.8399999999999608</c:v>
                </c:pt>
                <c:pt idx="185">
                  <c:v>5.8499999999999606</c:v>
                </c:pt>
                <c:pt idx="186">
                  <c:v>5.8599999999999604</c:v>
                </c:pt>
                <c:pt idx="187">
                  <c:v>5.8699999999999601</c:v>
                </c:pt>
                <c:pt idx="188">
                  <c:v>5.8799999999999599</c:v>
                </c:pt>
                <c:pt idx="189">
                  <c:v>5.8899999999999597</c:v>
                </c:pt>
                <c:pt idx="190">
                  <c:v>5.8999999999999595</c:v>
                </c:pt>
                <c:pt idx="191">
                  <c:v>5.9099999999999593</c:v>
                </c:pt>
                <c:pt idx="192">
                  <c:v>5.9199999999999591</c:v>
                </c:pt>
                <c:pt idx="193">
                  <c:v>5.9299999999999589</c:v>
                </c:pt>
                <c:pt idx="194">
                  <c:v>5.9399999999999586</c:v>
                </c:pt>
                <c:pt idx="195">
                  <c:v>5.9499999999999584</c:v>
                </c:pt>
                <c:pt idx="196">
                  <c:v>5.9599999999999582</c:v>
                </c:pt>
                <c:pt idx="197">
                  <c:v>5.969999999999958</c:v>
                </c:pt>
                <c:pt idx="198">
                  <c:v>5.9799999999999578</c:v>
                </c:pt>
                <c:pt idx="199">
                  <c:v>5.9899999999999576</c:v>
                </c:pt>
                <c:pt idx="200">
                  <c:v>5.9999999999999574</c:v>
                </c:pt>
                <c:pt idx="201">
                  <c:v>6.0099999999999572</c:v>
                </c:pt>
                <c:pt idx="202">
                  <c:v>6.0199999999999569</c:v>
                </c:pt>
                <c:pt idx="203">
                  <c:v>6.0299999999999567</c:v>
                </c:pt>
                <c:pt idx="204">
                  <c:v>6.0399999999999565</c:v>
                </c:pt>
                <c:pt idx="205">
                  <c:v>6.0499999999999563</c:v>
                </c:pt>
                <c:pt idx="206">
                  <c:v>6.0599999999999561</c:v>
                </c:pt>
                <c:pt idx="207">
                  <c:v>6.0699999999999559</c:v>
                </c:pt>
                <c:pt idx="208">
                  <c:v>6.0799999999999557</c:v>
                </c:pt>
                <c:pt idx="209">
                  <c:v>6.0899999999999554</c:v>
                </c:pt>
                <c:pt idx="210">
                  <c:v>6.0999999999999552</c:v>
                </c:pt>
                <c:pt idx="211">
                  <c:v>6.109999999999955</c:v>
                </c:pt>
                <c:pt idx="212">
                  <c:v>6.1199999999999548</c:v>
                </c:pt>
                <c:pt idx="213">
                  <c:v>6.1299999999999546</c:v>
                </c:pt>
                <c:pt idx="214">
                  <c:v>6.1399999999999544</c:v>
                </c:pt>
                <c:pt idx="215">
                  <c:v>6.1499999999999542</c:v>
                </c:pt>
                <c:pt idx="216">
                  <c:v>6.159999999999954</c:v>
                </c:pt>
                <c:pt idx="217">
                  <c:v>6.1699999999999537</c:v>
                </c:pt>
                <c:pt idx="218">
                  <c:v>6.1799999999999535</c:v>
                </c:pt>
                <c:pt idx="219">
                  <c:v>6.1899999999999533</c:v>
                </c:pt>
                <c:pt idx="220">
                  <c:v>6.1999999999999531</c:v>
                </c:pt>
                <c:pt idx="221">
                  <c:v>6.2099999999999529</c:v>
                </c:pt>
                <c:pt idx="222">
                  <c:v>6.2199999999999527</c:v>
                </c:pt>
                <c:pt idx="223">
                  <c:v>6.2299999999999525</c:v>
                </c:pt>
                <c:pt idx="224">
                  <c:v>6.2399999999999523</c:v>
                </c:pt>
                <c:pt idx="225">
                  <c:v>6.249999999999952</c:v>
                </c:pt>
                <c:pt idx="226">
                  <c:v>6.2599999999999518</c:v>
                </c:pt>
                <c:pt idx="227">
                  <c:v>6.2699999999999516</c:v>
                </c:pt>
                <c:pt idx="228">
                  <c:v>6.2799999999999514</c:v>
                </c:pt>
                <c:pt idx="229">
                  <c:v>6.2899999999999512</c:v>
                </c:pt>
                <c:pt idx="230">
                  <c:v>6.299999999999951</c:v>
                </c:pt>
                <c:pt idx="231">
                  <c:v>6.3099999999999508</c:v>
                </c:pt>
                <c:pt idx="232">
                  <c:v>6.3199999999999505</c:v>
                </c:pt>
                <c:pt idx="233">
                  <c:v>6.3299999999999503</c:v>
                </c:pt>
                <c:pt idx="234">
                  <c:v>6.3399999999999501</c:v>
                </c:pt>
                <c:pt idx="235">
                  <c:v>6.3499999999999499</c:v>
                </c:pt>
                <c:pt idx="236">
                  <c:v>6.3599999999999497</c:v>
                </c:pt>
                <c:pt idx="237">
                  <c:v>6.3699999999999495</c:v>
                </c:pt>
                <c:pt idx="238">
                  <c:v>6.3799999999999493</c:v>
                </c:pt>
                <c:pt idx="239">
                  <c:v>6.3899999999999491</c:v>
                </c:pt>
                <c:pt idx="240">
                  <c:v>6.3999999999999488</c:v>
                </c:pt>
                <c:pt idx="241">
                  <c:v>6.4099999999999486</c:v>
                </c:pt>
                <c:pt idx="242">
                  <c:v>6.4199999999999484</c:v>
                </c:pt>
                <c:pt idx="243">
                  <c:v>6.4299999999999482</c:v>
                </c:pt>
                <c:pt idx="244">
                  <c:v>6.439999999999948</c:v>
                </c:pt>
                <c:pt idx="245">
                  <c:v>6.4499999999999478</c:v>
                </c:pt>
                <c:pt idx="246">
                  <c:v>6.4599999999999476</c:v>
                </c:pt>
                <c:pt idx="247">
                  <c:v>6.4699999999999473</c:v>
                </c:pt>
                <c:pt idx="248">
                  <c:v>6.4799999999999471</c:v>
                </c:pt>
                <c:pt idx="249">
                  <c:v>6.4899999999999469</c:v>
                </c:pt>
                <c:pt idx="250">
                  <c:v>6.4999999999999467</c:v>
                </c:pt>
                <c:pt idx="251">
                  <c:v>6.5099999999999465</c:v>
                </c:pt>
                <c:pt idx="252">
                  <c:v>6.5199999999999463</c:v>
                </c:pt>
                <c:pt idx="253">
                  <c:v>6.5299999999999461</c:v>
                </c:pt>
                <c:pt idx="254">
                  <c:v>6.5399999999999459</c:v>
                </c:pt>
                <c:pt idx="255">
                  <c:v>6.5499999999999456</c:v>
                </c:pt>
                <c:pt idx="256">
                  <c:v>6.5599999999999454</c:v>
                </c:pt>
                <c:pt idx="257">
                  <c:v>6.5699999999999452</c:v>
                </c:pt>
                <c:pt idx="258">
                  <c:v>6.579999999999945</c:v>
                </c:pt>
                <c:pt idx="259">
                  <c:v>6.5899999999999448</c:v>
                </c:pt>
                <c:pt idx="260">
                  <c:v>6.5999999999999446</c:v>
                </c:pt>
                <c:pt idx="261">
                  <c:v>6.6099999999999444</c:v>
                </c:pt>
                <c:pt idx="262">
                  <c:v>6.6199999999999442</c:v>
                </c:pt>
                <c:pt idx="263">
                  <c:v>6.6299999999999439</c:v>
                </c:pt>
                <c:pt idx="264">
                  <c:v>6.6399999999999437</c:v>
                </c:pt>
                <c:pt idx="265">
                  <c:v>6.6499999999999435</c:v>
                </c:pt>
                <c:pt idx="266">
                  <c:v>6.6599999999999433</c:v>
                </c:pt>
                <c:pt idx="267">
                  <c:v>6.6699999999999431</c:v>
                </c:pt>
                <c:pt idx="268">
                  <c:v>6.6799999999999429</c:v>
                </c:pt>
                <c:pt idx="269">
                  <c:v>6.6899999999999427</c:v>
                </c:pt>
                <c:pt idx="270">
                  <c:v>6.6999999999999424</c:v>
                </c:pt>
                <c:pt idx="271">
                  <c:v>6.7099999999999422</c:v>
                </c:pt>
                <c:pt idx="272">
                  <c:v>6.719999999999942</c:v>
                </c:pt>
                <c:pt idx="273">
                  <c:v>6.7299999999999418</c:v>
                </c:pt>
                <c:pt idx="274">
                  <c:v>6.7399999999999416</c:v>
                </c:pt>
                <c:pt idx="275">
                  <c:v>6.7499999999999414</c:v>
                </c:pt>
                <c:pt idx="276">
                  <c:v>6.7599999999999412</c:v>
                </c:pt>
                <c:pt idx="277">
                  <c:v>6.769999999999941</c:v>
                </c:pt>
                <c:pt idx="278">
                  <c:v>6.7799999999999407</c:v>
                </c:pt>
                <c:pt idx="279">
                  <c:v>6.7899999999999405</c:v>
                </c:pt>
                <c:pt idx="280">
                  <c:v>6.7999999999999403</c:v>
                </c:pt>
                <c:pt idx="281">
                  <c:v>6.8099999999999401</c:v>
                </c:pt>
                <c:pt idx="282">
                  <c:v>6.8199999999999399</c:v>
                </c:pt>
                <c:pt idx="283">
                  <c:v>6.8299999999999397</c:v>
                </c:pt>
                <c:pt idx="284">
                  <c:v>6.8399999999999395</c:v>
                </c:pt>
                <c:pt idx="285">
                  <c:v>6.8499999999999392</c:v>
                </c:pt>
                <c:pt idx="286">
                  <c:v>6.859999999999939</c:v>
                </c:pt>
                <c:pt idx="287">
                  <c:v>6.8699999999999388</c:v>
                </c:pt>
                <c:pt idx="288">
                  <c:v>6.8799999999999386</c:v>
                </c:pt>
                <c:pt idx="289">
                  <c:v>6.8899999999999384</c:v>
                </c:pt>
                <c:pt idx="290">
                  <c:v>6.8999999999999382</c:v>
                </c:pt>
                <c:pt idx="291">
                  <c:v>6.909999999999938</c:v>
                </c:pt>
                <c:pt idx="292">
                  <c:v>6.9199999999999378</c:v>
                </c:pt>
                <c:pt idx="293">
                  <c:v>6.9299999999999375</c:v>
                </c:pt>
                <c:pt idx="294">
                  <c:v>6.9399999999999373</c:v>
                </c:pt>
                <c:pt idx="295">
                  <c:v>6.9499999999999371</c:v>
                </c:pt>
                <c:pt idx="296">
                  <c:v>6.9599999999999369</c:v>
                </c:pt>
                <c:pt idx="297">
                  <c:v>6.9699999999999367</c:v>
                </c:pt>
                <c:pt idx="298">
                  <c:v>6.9799999999999365</c:v>
                </c:pt>
                <c:pt idx="299">
                  <c:v>6.9899999999999363</c:v>
                </c:pt>
                <c:pt idx="300">
                  <c:v>6.9999999999999361</c:v>
                </c:pt>
                <c:pt idx="301">
                  <c:v>7.0099999999999358</c:v>
                </c:pt>
                <c:pt idx="302">
                  <c:v>7.0199999999999356</c:v>
                </c:pt>
                <c:pt idx="303">
                  <c:v>7.0299999999999354</c:v>
                </c:pt>
                <c:pt idx="304">
                  <c:v>7.0399999999999352</c:v>
                </c:pt>
                <c:pt idx="305">
                  <c:v>7.049999999999935</c:v>
                </c:pt>
                <c:pt idx="306">
                  <c:v>7.0599999999999348</c:v>
                </c:pt>
                <c:pt idx="307">
                  <c:v>7.0699999999999346</c:v>
                </c:pt>
                <c:pt idx="308">
                  <c:v>7.0799999999999343</c:v>
                </c:pt>
                <c:pt idx="309">
                  <c:v>7.0899999999999341</c:v>
                </c:pt>
                <c:pt idx="310">
                  <c:v>7.0999999999999339</c:v>
                </c:pt>
                <c:pt idx="311">
                  <c:v>7.1099999999999337</c:v>
                </c:pt>
                <c:pt idx="312">
                  <c:v>7.1199999999999335</c:v>
                </c:pt>
                <c:pt idx="313">
                  <c:v>7.1299999999999333</c:v>
                </c:pt>
                <c:pt idx="314">
                  <c:v>7.1399999999999331</c:v>
                </c:pt>
                <c:pt idx="315">
                  <c:v>7.1499999999999329</c:v>
                </c:pt>
                <c:pt idx="316">
                  <c:v>7.1599999999999326</c:v>
                </c:pt>
                <c:pt idx="317">
                  <c:v>7.1699999999999324</c:v>
                </c:pt>
                <c:pt idx="318">
                  <c:v>7.1799999999999322</c:v>
                </c:pt>
                <c:pt idx="319">
                  <c:v>7.189999999999932</c:v>
                </c:pt>
                <c:pt idx="320">
                  <c:v>7.1999999999999318</c:v>
                </c:pt>
                <c:pt idx="321">
                  <c:v>7.2099999999999316</c:v>
                </c:pt>
                <c:pt idx="322">
                  <c:v>7.2199999999999314</c:v>
                </c:pt>
                <c:pt idx="323">
                  <c:v>7.2299999999999311</c:v>
                </c:pt>
                <c:pt idx="324">
                  <c:v>7.2399999999999309</c:v>
                </c:pt>
                <c:pt idx="325">
                  <c:v>7.2499999999999307</c:v>
                </c:pt>
                <c:pt idx="326">
                  <c:v>7.2599999999999305</c:v>
                </c:pt>
                <c:pt idx="327">
                  <c:v>7.2699999999999303</c:v>
                </c:pt>
                <c:pt idx="328">
                  <c:v>7.2799999999999301</c:v>
                </c:pt>
                <c:pt idx="329">
                  <c:v>7.2899999999999299</c:v>
                </c:pt>
                <c:pt idx="330">
                  <c:v>7.2999999999999297</c:v>
                </c:pt>
                <c:pt idx="331">
                  <c:v>7.3099999999999294</c:v>
                </c:pt>
                <c:pt idx="332">
                  <c:v>7.3199999999999292</c:v>
                </c:pt>
                <c:pt idx="333">
                  <c:v>7.329999999999929</c:v>
                </c:pt>
                <c:pt idx="334">
                  <c:v>7.3399999999999288</c:v>
                </c:pt>
                <c:pt idx="335">
                  <c:v>7.3499999999999286</c:v>
                </c:pt>
                <c:pt idx="336">
                  <c:v>7.3599999999999284</c:v>
                </c:pt>
                <c:pt idx="337">
                  <c:v>7.3699999999999282</c:v>
                </c:pt>
                <c:pt idx="338">
                  <c:v>7.379999999999928</c:v>
                </c:pt>
                <c:pt idx="339">
                  <c:v>7.3899999999999277</c:v>
                </c:pt>
                <c:pt idx="340">
                  <c:v>7.3999999999999275</c:v>
                </c:pt>
                <c:pt idx="341">
                  <c:v>7.4099999999999273</c:v>
                </c:pt>
                <c:pt idx="342">
                  <c:v>7.4199999999999271</c:v>
                </c:pt>
                <c:pt idx="343">
                  <c:v>7.4299999999999269</c:v>
                </c:pt>
                <c:pt idx="344">
                  <c:v>7.4399999999999267</c:v>
                </c:pt>
                <c:pt idx="345">
                  <c:v>7.4499999999999265</c:v>
                </c:pt>
                <c:pt idx="346">
                  <c:v>7.4599999999999262</c:v>
                </c:pt>
                <c:pt idx="347">
                  <c:v>7.469999999999926</c:v>
                </c:pt>
                <c:pt idx="348">
                  <c:v>7.4799999999999258</c:v>
                </c:pt>
                <c:pt idx="349">
                  <c:v>7.4899999999999256</c:v>
                </c:pt>
                <c:pt idx="350">
                  <c:v>7.4999999999999254</c:v>
                </c:pt>
                <c:pt idx="351">
                  <c:v>7.5099999999999252</c:v>
                </c:pt>
                <c:pt idx="352">
                  <c:v>7.519999999999925</c:v>
                </c:pt>
                <c:pt idx="353">
                  <c:v>7.5299999999999248</c:v>
                </c:pt>
                <c:pt idx="354">
                  <c:v>7.5399999999999245</c:v>
                </c:pt>
                <c:pt idx="355">
                  <c:v>7.5499999999999243</c:v>
                </c:pt>
                <c:pt idx="356">
                  <c:v>7.5599999999999241</c:v>
                </c:pt>
                <c:pt idx="357">
                  <c:v>7.5699999999999239</c:v>
                </c:pt>
                <c:pt idx="358">
                  <c:v>7.5799999999999237</c:v>
                </c:pt>
                <c:pt idx="359">
                  <c:v>7.5899999999999235</c:v>
                </c:pt>
                <c:pt idx="360">
                  <c:v>7.5999999999999233</c:v>
                </c:pt>
                <c:pt idx="361">
                  <c:v>7.609999999999923</c:v>
                </c:pt>
                <c:pt idx="362">
                  <c:v>7.6199999999999228</c:v>
                </c:pt>
                <c:pt idx="363">
                  <c:v>7.6299999999999226</c:v>
                </c:pt>
                <c:pt idx="364">
                  <c:v>7.6399999999999224</c:v>
                </c:pt>
                <c:pt idx="365">
                  <c:v>7.6499999999999222</c:v>
                </c:pt>
                <c:pt idx="366">
                  <c:v>7.659999999999922</c:v>
                </c:pt>
                <c:pt idx="367">
                  <c:v>7.6699999999999218</c:v>
                </c:pt>
                <c:pt idx="368">
                  <c:v>7.6799999999999216</c:v>
                </c:pt>
                <c:pt idx="369">
                  <c:v>7.6899999999999213</c:v>
                </c:pt>
                <c:pt idx="370">
                  <c:v>7.6999999999999211</c:v>
                </c:pt>
                <c:pt idx="371">
                  <c:v>7.7099999999999209</c:v>
                </c:pt>
                <c:pt idx="372">
                  <c:v>7.7199999999999207</c:v>
                </c:pt>
                <c:pt idx="373">
                  <c:v>7.7299999999999205</c:v>
                </c:pt>
                <c:pt idx="374">
                  <c:v>7.7399999999999203</c:v>
                </c:pt>
                <c:pt idx="375">
                  <c:v>7.7499999999999201</c:v>
                </c:pt>
                <c:pt idx="376">
                  <c:v>7.7599999999999199</c:v>
                </c:pt>
                <c:pt idx="377">
                  <c:v>7.7699999999999196</c:v>
                </c:pt>
                <c:pt idx="378">
                  <c:v>7.7799999999999194</c:v>
                </c:pt>
                <c:pt idx="379">
                  <c:v>7.7899999999999192</c:v>
                </c:pt>
                <c:pt idx="380">
                  <c:v>7.799999999999919</c:v>
                </c:pt>
                <c:pt idx="381">
                  <c:v>7.8099999999999188</c:v>
                </c:pt>
                <c:pt idx="382">
                  <c:v>7.8199999999999186</c:v>
                </c:pt>
                <c:pt idx="383">
                  <c:v>7.8299999999999184</c:v>
                </c:pt>
                <c:pt idx="384">
                  <c:v>7.8399999999999181</c:v>
                </c:pt>
                <c:pt idx="385">
                  <c:v>7.8499999999999179</c:v>
                </c:pt>
                <c:pt idx="386">
                  <c:v>7.8599999999999177</c:v>
                </c:pt>
                <c:pt idx="387">
                  <c:v>7.8699999999999175</c:v>
                </c:pt>
                <c:pt idx="388">
                  <c:v>7.8799999999999173</c:v>
                </c:pt>
                <c:pt idx="389">
                  <c:v>7.8899999999999171</c:v>
                </c:pt>
                <c:pt idx="390">
                  <c:v>7.8999999999999169</c:v>
                </c:pt>
                <c:pt idx="391">
                  <c:v>7.9099999999999167</c:v>
                </c:pt>
                <c:pt idx="392">
                  <c:v>7.9199999999999164</c:v>
                </c:pt>
                <c:pt idx="393">
                  <c:v>7.9299999999999162</c:v>
                </c:pt>
                <c:pt idx="394">
                  <c:v>7.939999999999916</c:v>
                </c:pt>
                <c:pt idx="395">
                  <c:v>7.9499999999999158</c:v>
                </c:pt>
                <c:pt idx="396">
                  <c:v>7.9599999999999156</c:v>
                </c:pt>
                <c:pt idx="397">
                  <c:v>7.9699999999999154</c:v>
                </c:pt>
                <c:pt idx="398">
                  <c:v>7.9799999999999152</c:v>
                </c:pt>
                <c:pt idx="399">
                  <c:v>7.9899999999999149</c:v>
                </c:pt>
                <c:pt idx="400">
                  <c:v>7.9999999999999147</c:v>
                </c:pt>
                <c:pt idx="401">
                  <c:v>8.0999999999999144</c:v>
                </c:pt>
                <c:pt idx="402">
                  <c:v>8.199999999999914</c:v>
                </c:pt>
                <c:pt idx="403">
                  <c:v>8.2999999999999137</c:v>
                </c:pt>
                <c:pt idx="404">
                  <c:v>8.3999999999999133</c:v>
                </c:pt>
                <c:pt idx="405">
                  <c:v>8.499999999999913</c:v>
                </c:pt>
                <c:pt idx="406">
                  <c:v>8.5999999999999126</c:v>
                </c:pt>
                <c:pt idx="407">
                  <c:v>8.6999999999999122</c:v>
                </c:pt>
                <c:pt idx="408">
                  <c:v>8.7999999999999119</c:v>
                </c:pt>
                <c:pt idx="409">
                  <c:v>8.8999999999999115</c:v>
                </c:pt>
                <c:pt idx="410">
                  <c:v>8.9999999999999112</c:v>
                </c:pt>
                <c:pt idx="411">
                  <c:v>9.0999999999999108</c:v>
                </c:pt>
                <c:pt idx="412">
                  <c:v>9.1999999999999105</c:v>
                </c:pt>
                <c:pt idx="413">
                  <c:v>9.2999999999999101</c:v>
                </c:pt>
                <c:pt idx="414">
                  <c:v>9.3999999999999098</c:v>
                </c:pt>
                <c:pt idx="415">
                  <c:v>9.4999999999999094</c:v>
                </c:pt>
                <c:pt idx="416">
                  <c:v>9.5999999999999091</c:v>
                </c:pt>
                <c:pt idx="417">
                  <c:v>9.6999999999999087</c:v>
                </c:pt>
                <c:pt idx="418">
                  <c:v>9.7999999999999083</c:v>
                </c:pt>
                <c:pt idx="419">
                  <c:v>9.899999999999908</c:v>
                </c:pt>
                <c:pt idx="420">
                  <c:v>9.9999999999999076</c:v>
                </c:pt>
                <c:pt idx="421">
                  <c:v>10.099999999999907</c:v>
                </c:pt>
                <c:pt idx="422">
                  <c:v>10.199999999999907</c:v>
                </c:pt>
                <c:pt idx="423">
                  <c:v>10.299999999999907</c:v>
                </c:pt>
                <c:pt idx="424">
                  <c:v>10.399999999999906</c:v>
                </c:pt>
                <c:pt idx="425">
                  <c:v>10.499999999999906</c:v>
                </c:pt>
                <c:pt idx="426">
                  <c:v>10.599999999999905</c:v>
                </c:pt>
                <c:pt idx="427">
                  <c:v>10.699999999999905</c:v>
                </c:pt>
                <c:pt idx="428">
                  <c:v>10.799999999999905</c:v>
                </c:pt>
                <c:pt idx="429">
                  <c:v>10.899999999999904</c:v>
                </c:pt>
                <c:pt idx="430">
                  <c:v>10.999999999999904</c:v>
                </c:pt>
                <c:pt idx="431">
                  <c:v>11.099999999999904</c:v>
                </c:pt>
                <c:pt idx="432">
                  <c:v>11.199999999999903</c:v>
                </c:pt>
                <c:pt idx="433">
                  <c:v>11.299999999999903</c:v>
                </c:pt>
                <c:pt idx="434">
                  <c:v>11.399999999999903</c:v>
                </c:pt>
                <c:pt idx="435">
                  <c:v>11.499999999999902</c:v>
                </c:pt>
                <c:pt idx="436">
                  <c:v>11.599999999999902</c:v>
                </c:pt>
                <c:pt idx="437">
                  <c:v>11.699999999999902</c:v>
                </c:pt>
                <c:pt idx="438">
                  <c:v>11.799999999999901</c:v>
                </c:pt>
                <c:pt idx="439">
                  <c:v>11.899999999999901</c:v>
                </c:pt>
                <c:pt idx="440">
                  <c:v>11.999999999999901</c:v>
                </c:pt>
                <c:pt idx="441">
                  <c:v>12.0999999999999</c:v>
                </c:pt>
                <c:pt idx="442">
                  <c:v>12.1999999999999</c:v>
                </c:pt>
                <c:pt idx="443">
                  <c:v>12.299999999999899</c:v>
                </c:pt>
                <c:pt idx="444">
                  <c:v>12.399999999999899</c:v>
                </c:pt>
                <c:pt idx="445">
                  <c:v>12.499999999999899</c:v>
                </c:pt>
                <c:pt idx="446">
                  <c:v>12.599999999999898</c:v>
                </c:pt>
                <c:pt idx="447">
                  <c:v>12.699999999999898</c:v>
                </c:pt>
                <c:pt idx="448">
                  <c:v>12.799999999999898</c:v>
                </c:pt>
                <c:pt idx="449">
                  <c:v>12.899999999999897</c:v>
                </c:pt>
                <c:pt idx="450">
                  <c:v>12.999999999999897</c:v>
                </c:pt>
                <c:pt idx="451">
                  <c:v>13.099999999999897</c:v>
                </c:pt>
                <c:pt idx="452">
                  <c:v>13.199999999999896</c:v>
                </c:pt>
                <c:pt idx="453">
                  <c:v>13.299999999999896</c:v>
                </c:pt>
                <c:pt idx="454">
                  <c:v>13.399999999999896</c:v>
                </c:pt>
                <c:pt idx="455">
                  <c:v>13.499999999999895</c:v>
                </c:pt>
                <c:pt idx="456">
                  <c:v>13.599999999999895</c:v>
                </c:pt>
                <c:pt idx="457">
                  <c:v>13.699999999999894</c:v>
                </c:pt>
                <c:pt idx="458">
                  <c:v>13.799999999999894</c:v>
                </c:pt>
                <c:pt idx="459">
                  <c:v>13.899999999999894</c:v>
                </c:pt>
                <c:pt idx="460">
                  <c:v>13.999999999999893</c:v>
                </c:pt>
                <c:pt idx="461">
                  <c:v>14.099999999999893</c:v>
                </c:pt>
                <c:pt idx="462">
                  <c:v>14.199999999999893</c:v>
                </c:pt>
                <c:pt idx="463">
                  <c:v>14.299999999999892</c:v>
                </c:pt>
                <c:pt idx="464">
                  <c:v>14.399999999999892</c:v>
                </c:pt>
                <c:pt idx="465">
                  <c:v>14.499999999999892</c:v>
                </c:pt>
                <c:pt idx="466">
                  <c:v>14.599999999999891</c:v>
                </c:pt>
                <c:pt idx="467">
                  <c:v>14.699999999999891</c:v>
                </c:pt>
                <c:pt idx="468">
                  <c:v>14.799999999999891</c:v>
                </c:pt>
                <c:pt idx="469">
                  <c:v>14.89999999999989</c:v>
                </c:pt>
                <c:pt idx="470">
                  <c:v>14.99999999999989</c:v>
                </c:pt>
                <c:pt idx="471">
                  <c:v>15.09999999999989</c:v>
                </c:pt>
                <c:pt idx="472">
                  <c:v>15.199999999999889</c:v>
                </c:pt>
                <c:pt idx="473">
                  <c:v>15.299999999999889</c:v>
                </c:pt>
                <c:pt idx="474">
                  <c:v>15.399999999999888</c:v>
                </c:pt>
                <c:pt idx="475">
                  <c:v>15.499999999999888</c:v>
                </c:pt>
                <c:pt idx="476">
                  <c:v>15.599999999999888</c:v>
                </c:pt>
                <c:pt idx="477">
                  <c:v>15.699999999999887</c:v>
                </c:pt>
                <c:pt idx="478">
                  <c:v>15.799999999999887</c:v>
                </c:pt>
                <c:pt idx="479">
                  <c:v>15.899999999999887</c:v>
                </c:pt>
                <c:pt idx="480">
                  <c:v>15.999999999999886</c:v>
                </c:pt>
                <c:pt idx="481">
                  <c:v>16.099999999999888</c:v>
                </c:pt>
                <c:pt idx="482">
                  <c:v>16.199999999999889</c:v>
                </c:pt>
                <c:pt idx="483">
                  <c:v>16.299999999999891</c:v>
                </c:pt>
                <c:pt idx="484">
                  <c:v>16.399999999999892</c:v>
                </c:pt>
                <c:pt idx="485">
                  <c:v>16.499999999999893</c:v>
                </c:pt>
                <c:pt idx="486">
                  <c:v>16.599999999999895</c:v>
                </c:pt>
                <c:pt idx="487">
                  <c:v>16.699999999999896</c:v>
                </c:pt>
                <c:pt idx="488">
                  <c:v>16.799999999999898</c:v>
                </c:pt>
                <c:pt idx="489">
                  <c:v>16.899999999999899</c:v>
                </c:pt>
                <c:pt idx="490">
                  <c:v>16.999999999999901</c:v>
                </c:pt>
                <c:pt idx="491">
                  <c:v>17.099999999999902</c:v>
                </c:pt>
                <c:pt idx="492">
                  <c:v>17.199999999999903</c:v>
                </c:pt>
                <c:pt idx="493">
                  <c:v>17.299999999999905</c:v>
                </c:pt>
                <c:pt idx="494">
                  <c:v>17.399999999999906</c:v>
                </c:pt>
                <c:pt idx="495">
                  <c:v>17.499999999999908</c:v>
                </c:pt>
                <c:pt idx="496">
                  <c:v>17.599999999999909</c:v>
                </c:pt>
                <c:pt idx="497">
                  <c:v>17.69999999999991</c:v>
                </c:pt>
                <c:pt idx="498">
                  <c:v>17.799999999999912</c:v>
                </c:pt>
                <c:pt idx="499">
                  <c:v>17.899999999999913</c:v>
                </c:pt>
                <c:pt idx="500">
                  <c:v>17.999999999999915</c:v>
                </c:pt>
                <c:pt idx="501">
                  <c:v>18.099999999999916</c:v>
                </c:pt>
                <c:pt idx="502">
                  <c:v>18.199999999999918</c:v>
                </c:pt>
                <c:pt idx="503">
                  <c:v>18.299999999999919</c:v>
                </c:pt>
                <c:pt idx="504">
                  <c:v>18.39999999999992</c:v>
                </c:pt>
                <c:pt idx="505">
                  <c:v>18.499999999999922</c:v>
                </c:pt>
                <c:pt idx="506">
                  <c:v>18.599999999999923</c:v>
                </c:pt>
                <c:pt idx="507">
                  <c:v>18.699999999999925</c:v>
                </c:pt>
                <c:pt idx="508">
                  <c:v>18.799999999999926</c:v>
                </c:pt>
                <c:pt idx="509">
                  <c:v>18.899999999999928</c:v>
                </c:pt>
                <c:pt idx="510">
                  <c:v>18.999999999999929</c:v>
                </c:pt>
                <c:pt idx="511">
                  <c:v>19.09999999999993</c:v>
                </c:pt>
                <c:pt idx="512">
                  <c:v>19.199999999999932</c:v>
                </c:pt>
                <c:pt idx="513">
                  <c:v>19.299999999999933</c:v>
                </c:pt>
                <c:pt idx="514">
                  <c:v>19.399999999999935</c:v>
                </c:pt>
                <c:pt idx="515">
                  <c:v>19.499999999999936</c:v>
                </c:pt>
                <c:pt idx="516">
                  <c:v>19.599999999999937</c:v>
                </c:pt>
                <c:pt idx="517">
                  <c:v>19.699999999999939</c:v>
                </c:pt>
                <c:pt idx="518">
                  <c:v>19.79999999999994</c:v>
                </c:pt>
                <c:pt idx="519">
                  <c:v>19.899999999999942</c:v>
                </c:pt>
                <c:pt idx="520">
                  <c:v>19.999999999999943</c:v>
                </c:pt>
                <c:pt idx="521">
                  <c:v>20.099999999999945</c:v>
                </c:pt>
                <c:pt idx="522">
                  <c:v>20.199999999999946</c:v>
                </c:pt>
                <c:pt idx="523">
                  <c:v>20.299999999999947</c:v>
                </c:pt>
                <c:pt idx="524">
                  <c:v>20.399999999999949</c:v>
                </c:pt>
                <c:pt idx="525">
                  <c:v>20.49999999999995</c:v>
                </c:pt>
                <c:pt idx="526">
                  <c:v>20.599999999999952</c:v>
                </c:pt>
                <c:pt idx="527">
                  <c:v>20.699999999999953</c:v>
                </c:pt>
                <c:pt idx="528">
                  <c:v>20.799999999999955</c:v>
                </c:pt>
                <c:pt idx="529">
                  <c:v>20.899999999999956</c:v>
                </c:pt>
                <c:pt idx="530">
                  <c:v>20.999999999999957</c:v>
                </c:pt>
                <c:pt idx="531">
                  <c:v>21.099999999999959</c:v>
                </c:pt>
                <c:pt idx="532">
                  <c:v>21.19999999999996</c:v>
                </c:pt>
                <c:pt idx="533">
                  <c:v>21.299999999999962</c:v>
                </c:pt>
                <c:pt idx="534">
                  <c:v>21.399999999999963</c:v>
                </c:pt>
                <c:pt idx="535">
                  <c:v>21.499999999999964</c:v>
                </c:pt>
                <c:pt idx="536">
                  <c:v>21.599999999999966</c:v>
                </c:pt>
                <c:pt idx="537">
                  <c:v>21.699999999999967</c:v>
                </c:pt>
                <c:pt idx="538">
                  <c:v>21.799999999999969</c:v>
                </c:pt>
                <c:pt idx="539">
                  <c:v>21.89999999999997</c:v>
                </c:pt>
                <c:pt idx="540">
                  <c:v>21.999999999999972</c:v>
                </c:pt>
                <c:pt idx="541">
                  <c:v>22.099999999999973</c:v>
                </c:pt>
                <c:pt idx="542">
                  <c:v>22.199999999999974</c:v>
                </c:pt>
                <c:pt idx="543">
                  <c:v>22.299999999999976</c:v>
                </c:pt>
                <c:pt idx="544">
                  <c:v>22.399999999999977</c:v>
                </c:pt>
                <c:pt idx="545">
                  <c:v>22.499999999999979</c:v>
                </c:pt>
                <c:pt idx="546">
                  <c:v>22.59999999999998</c:v>
                </c:pt>
                <c:pt idx="547">
                  <c:v>22.699999999999982</c:v>
                </c:pt>
                <c:pt idx="548">
                  <c:v>22.799999999999983</c:v>
                </c:pt>
                <c:pt idx="549">
                  <c:v>22.899999999999984</c:v>
                </c:pt>
                <c:pt idx="550">
                  <c:v>22.999999999999986</c:v>
                </c:pt>
                <c:pt idx="551">
                  <c:v>23.099999999999987</c:v>
                </c:pt>
                <c:pt idx="552">
                  <c:v>23.199999999999989</c:v>
                </c:pt>
                <c:pt idx="553">
                  <c:v>23.29999999999999</c:v>
                </c:pt>
                <c:pt idx="554">
                  <c:v>23.399999999999991</c:v>
                </c:pt>
                <c:pt idx="555">
                  <c:v>23.499999999999993</c:v>
                </c:pt>
                <c:pt idx="556">
                  <c:v>23.599999999999994</c:v>
                </c:pt>
                <c:pt idx="557">
                  <c:v>23.699999999999996</c:v>
                </c:pt>
                <c:pt idx="558">
                  <c:v>23.799999999999997</c:v>
                </c:pt>
                <c:pt idx="559">
                  <c:v>23.9</c:v>
                </c:pt>
                <c:pt idx="560">
                  <c:v>24</c:v>
                </c:pt>
                <c:pt idx="561">
                  <c:v>24.1</c:v>
                </c:pt>
                <c:pt idx="562">
                  <c:v>24.200000000000003</c:v>
                </c:pt>
                <c:pt idx="563">
                  <c:v>24.300000000000004</c:v>
                </c:pt>
                <c:pt idx="564">
                  <c:v>24.400000000000006</c:v>
                </c:pt>
                <c:pt idx="565">
                  <c:v>24.500000000000007</c:v>
                </c:pt>
                <c:pt idx="566">
                  <c:v>24.600000000000009</c:v>
                </c:pt>
                <c:pt idx="567">
                  <c:v>24.70000000000001</c:v>
                </c:pt>
                <c:pt idx="568">
                  <c:v>24.800000000000011</c:v>
                </c:pt>
                <c:pt idx="569">
                  <c:v>24.900000000000013</c:v>
                </c:pt>
                <c:pt idx="570">
                  <c:v>25.000000000000014</c:v>
                </c:pt>
                <c:pt idx="571">
                  <c:v>25.100000000000016</c:v>
                </c:pt>
                <c:pt idx="572">
                  <c:v>25.200000000000017</c:v>
                </c:pt>
                <c:pt idx="573">
                  <c:v>25.300000000000018</c:v>
                </c:pt>
                <c:pt idx="574">
                  <c:v>25.40000000000002</c:v>
                </c:pt>
                <c:pt idx="575">
                  <c:v>25.500000000000021</c:v>
                </c:pt>
                <c:pt idx="576">
                  <c:v>25.600000000000023</c:v>
                </c:pt>
                <c:pt idx="577">
                  <c:v>25.700000000000024</c:v>
                </c:pt>
                <c:pt idx="578">
                  <c:v>25.800000000000026</c:v>
                </c:pt>
                <c:pt idx="579">
                  <c:v>25.900000000000027</c:v>
                </c:pt>
                <c:pt idx="580">
                  <c:v>26.000000000000028</c:v>
                </c:pt>
                <c:pt idx="581">
                  <c:v>26.10000000000003</c:v>
                </c:pt>
                <c:pt idx="582">
                  <c:v>26.200000000000031</c:v>
                </c:pt>
                <c:pt idx="583">
                  <c:v>26.300000000000033</c:v>
                </c:pt>
                <c:pt idx="584">
                  <c:v>26.400000000000034</c:v>
                </c:pt>
                <c:pt idx="585">
                  <c:v>26.500000000000036</c:v>
                </c:pt>
                <c:pt idx="586">
                  <c:v>26.600000000000037</c:v>
                </c:pt>
                <c:pt idx="587">
                  <c:v>26.700000000000038</c:v>
                </c:pt>
                <c:pt idx="588">
                  <c:v>26.80000000000004</c:v>
                </c:pt>
                <c:pt idx="589">
                  <c:v>26.900000000000041</c:v>
                </c:pt>
                <c:pt idx="590">
                  <c:v>27.000000000000043</c:v>
                </c:pt>
                <c:pt idx="591">
                  <c:v>27.100000000000044</c:v>
                </c:pt>
                <c:pt idx="592">
                  <c:v>27.200000000000045</c:v>
                </c:pt>
                <c:pt idx="593">
                  <c:v>27.300000000000047</c:v>
                </c:pt>
                <c:pt idx="594">
                  <c:v>27.400000000000048</c:v>
                </c:pt>
                <c:pt idx="595">
                  <c:v>27.50000000000005</c:v>
                </c:pt>
                <c:pt idx="596">
                  <c:v>27.600000000000051</c:v>
                </c:pt>
                <c:pt idx="597">
                  <c:v>27.700000000000053</c:v>
                </c:pt>
                <c:pt idx="598">
                  <c:v>27.800000000000054</c:v>
                </c:pt>
                <c:pt idx="599">
                  <c:v>27.900000000000055</c:v>
                </c:pt>
                <c:pt idx="600">
                  <c:v>28.000000000000057</c:v>
                </c:pt>
                <c:pt idx="601">
                  <c:v>28.100000000000058</c:v>
                </c:pt>
                <c:pt idx="602">
                  <c:v>28.20000000000006</c:v>
                </c:pt>
                <c:pt idx="603">
                  <c:v>28.300000000000061</c:v>
                </c:pt>
                <c:pt idx="604">
                  <c:v>28.400000000000063</c:v>
                </c:pt>
                <c:pt idx="605">
                  <c:v>28.500000000000064</c:v>
                </c:pt>
                <c:pt idx="606">
                  <c:v>28.600000000000065</c:v>
                </c:pt>
                <c:pt idx="607">
                  <c:v>28.700000000000067</c:v>
                </c:pt>
                <c:pt idx="608">
                  <c:v>28.800000000000068</c:v>
                </c:pt>
                <c:pt idx="609">
                  <c:v>28.90000000000007</c:v>
                </c:pt>
                <c:pt idx="610">
                  <c:v>29.000000000000071</c:v>
                </c:pt>
                <c:pt idx="611">
                  <c:v>29.100000000000072</c:v>
                </c:pt>
                <c:pt idx="612">
                  <c:v>29.200000000000074</c:v>
                </c:pt>
                <c:pt idx="613">
                  <c:v>29.300000000000075</c:v>
                </c:pt>
                <c:pt idx="614">
                  <c:v>29.400000000000077</c:v>
                </c:pt>
                <c:pt idx="615">
                  <c:v>29.500000000000078</c:v>
                </c:pt>
                <c:pt idx="616">
                  <c:v>29.60000000000008</c:v>
                </c:pt>
                <c:pt idx="617">
                  <c:v>29.700000000000081</c:v>
                </c:pt>
                <c:pt idx="618">
                  <c:v>29.800000000000082</c:v>
                </c:pt>
                <c:pt idx="619">
                  <c:v>29.900000000000084</c:v>
                </c:pt>
                <c:pt idx="620">
                  <c:v>30.000000000000085</c:v>
                </c:pt>
                <c:pt idx="621">
                  <c:v>30.100000000000087</c:v>
                </c:pt>
                <c:pt idx="622">
                  <c:v>30.200000000000088</c:v>
                </c:pt>
                <c:pt idx="623">
                  <c:v>30.30000000000009</c:v>
                </c:pt>
                <c:pt idx="624">
                  <c:v>30.400000000000091</c:v>
                </c:pt>
                <c:pt idx="625">
                  <c:v>30.500000000000092</c:v>
                </c:pt>
                <c:pt idx="626">
                  <c:v>30.600000000000094</c:v>
                </c:pt>
                <c:pt idx="627">
                  <c:v>30.700000000000095</c:v>
                </c:pt>
                <c:pt idx="628">
                  <c:v>30.800000000000097</c:v>
                </c:pt>
                <c:pt idx="629">
                  <c:v>30.900000000000098</c:v>
                </c:pt>
                <c:pt idx="630">
                  <c:v>31.000000000000099</c:v>
                </c:pt>
                <c:pt idx="631">
                  <c:v>31.100000000000101</c:v>
                </c:pt>
                <c:pt idx="632">
                  <c:v>31.200000000000102</c:v>
                </c:pt>
                <c:pt idx="633">
                  <c:v>31.300000000000104</c:v>
                </c:pt>
                <c:pt idx="634">
                  <c:v>31.400000000000105</c:v>
                </c:pt>
                <c:pt idx="635">
                  <c:v>31.500000000000107</c:v>
                </c:pt>
                <c:pt idx="636">
                  <c:v>31.600000000000108</c:v>
                </c:pt>
                <c:pt idx="637">
                  <c:v>31.700000000000109</c:v>
                </c:pt>
                <c:pt idx="638">
                  <c:v>31.800000000000111</c:v>
                </c:pt>
                <c:pt idx="639">
                  <c:v>31.900000000000112</c:v>
                </c:pt>
                <c:pt idx="640">
                  <c:v>32.000000000000114</c:v>
                </c:pt>
                <c:pt idx="641">
                  <c:v>32.100000000000115</c:v>
                </c:pt>
                <c:pt idx="642">
                  <c:v>32.200000000000117</c:v>
                </c:pt>
                <c:pt idx="643">
                  <c:v>32.300000000000118</c:v>
                </c:pt>
                <c:pt idx="644">
                  <c:v>32.400000000000119</c:v>
                </c:pt>
                <c:pt idx="645">
                  <c:v>32.500000000000121</c:v>
                </c:pt>
                <c:pt idx="646">
                  <c:v>32.600000000000122</c:v>
                </c:pt>
                <c:pt idx="647">
                  <c:v>32.700000000000124</c:v>
                </c:pt>
                <c:pt idx="648">
                  <c:v>32.800000000000125</c:v>
                </c:pt>
                <c:pt idx="649">
                  <c:v>32.900000000000126</c:v>
                </c:pt>
                <c:pt idx="650">
                  <c:v>33.000000000000128</c:v>
                </c:pt>
                <c:pt idx="651">
                  <c:v>33.100000000000129</c:v>
                </c:pt>
                <c:pt idx="652">
                  <c:v>33.200000000000131</c:v>
                </c:pt>
                <c:pt idx="653">
                  <c:v>33.300000000000132</c:v>
                </c:pt>
                <c:pt idx="654">
                  <c:v>33.400000000000134</c:v>
                </c:pt>
                <c:pt idx="655">
                  <c:v>33.500000000000135</c:v>
                </c:pt>
                <c:pt idx="656">
                  <c:v>33.600000000000136</c:v>
                </c:pt>
                <c:pt idx="657">
                  <c:v>33.700000000000138</c:v>
                </c:pt>
                <c:pt idx="658">
                  <c:v>33.800000000000139</c:v>
                </c:pt>
                <c:pt idx="659">
                  <c:v>33.900000000000141</c:v>
                </c:pt>
                <c:pt idx="660">
                  <c:v>34.000000000000142</c:v>
                </c:pt>
                <c:pt idx="661">
                  <c:v>34.100000000000144</c:v>
                </c:pt>
                <c:pt idx="662">
                  <c:v>34.200000000000145</c:v>
                </c:pt>
                <c:pt idx="663">
                  <c:v>34.300000000000146</c:v>
                </c:pt>
                <c:pt idx="664">
                  <c:v>34.400000000000148</c:v>
                </c:pt>
                <c:pt idx="665">
                  <c:v>34.500000000000149</c:v>
                </c:pt>
                <c:pt idx="666">
                  <c:v>34.600000000000151</c:v>
                </c:pt>
                <c:pt idx="667">
                  <c:v>34.700000000000152</c:v>
                </c:pt>
                <c:pt idx="668">
                  <c:v>34.800000000000153</c:v>
                </c:pt>
                <c:pt idx="669">
                  <c:v>34.900000000000155</c:v>
                </c:pt>
                <c:pt idx="670">
                  <c:v>35.000000000000156</c:v>
                </c:pt>
                <c:pt idx="671">
                  <c:v>35.100000000000158</c:v>
                </c:pt>
                <c:pt idx="672">
                  <c:v>35.200000000000159</c:v>
                </c:pt>
                <c:pt idx="673">
                  <c:v>35.300000000000161</c:v>
                </c:pt>
                <c:pt idx="674">
                  <c:v>35.400000000000162</c:v>
                </c:pt>
                <c:pt idx="675">
                  <c:v>35.500000000000163</c:v>
                </c:pt>
                <c:pt idx="676">
                  <c:v>35.600000000000165</c:v>
                </c:pt>
                <c:pt idx="677">
                  <c:v>35.700000000000166</c:v>
                </c:pt>
                <c:pt idx="678">
                  <c:v>35.800000000000168</c:v>
                </c:pt>
                <c:pt idx="679">
                  <c:v>35.900000000000169</c:v>
                </c:pt>
                <c:pt idx="680">
                  <c:v>36.000000000000171</c:v>
                </c:pt>
                <c:pt idx="681">
                  <c:v>36.100000000000172</c:v>
                </c:pt>
                <c:pt idx="682">
                  <c:v>36.200000000000173</c:v>
                </c:pt>
                <c:pt idx="683">
                  <c:v>36.300000000000175</c:v>
                </c:pt>
                <c:pt idx="684">
                  <c:v>36.400000000000176</c:v>
                </c:pt>
                <c:pt idx="685">
                  <c:v>36.500000000000178</c:v>
                </c:pt>
                <c:pt idx="686">
                  <c:v>36.600000000000179</c:v>
                </c:pt>
                <c:pt idx="687">
                  <c:v>36.70000000000018</c:v>
                </c:pt>
                <c:pt idx="688">
                  <c:v>36.800000000000182</c:v>
                </c:pt>
                <c:pt idx="689">
                  <c:v>36.900000000000183</c:v>
                </c:pt>
                <c:pt idx="690">
                  <c:v>37.000000000000185</c:v>
                </c:pt>
                <c:pt idx="691">
                  <c:v>37.100000000000186</c:v>
                </c:pt>
                <c:pt idx="692">
                  <c:v>37.200000000000188</c:v>
                </c:pt>
                <c:pt idx="693">
                  <c:v>37.300000000000189</c:v>
                </c:pt>
                <c:pt idx="694">
                  <c:v>37.40000000000019</c:v>
                </c:pt>
                <c:pt idx="695">
                  <c:v>37.500000000000192</c:v>
                </c:pt>
                <c:pt idx="696">
                  <c:v>37.600000000000193</c:v>
                </c:pt>
                <c:pt idx="697">
                  <c:v>37.700000000000195</c:v>
                </c:pt>
                <c:pt idx="698">
                  <c:v>37.800000000000196</c:v>
                </c:pt>
                <c:pt idx="699">
                  <c:v>37.900000000000198</c:v>
                </c:pt>
                <c:pt idx="700">
                  <c:v>38.000000000000199</c:v>
                </c:pt>
                <c:pt idx="701">
                  <c:v>38.1000000000002</c:v>
                </c:pt>
                <c:pt idx="702">
                  <c:v>38.200000000000202</c:v>
                </c:pt>
                <c:pt idx="703">
                  <c:v>38.300000000000203</c:v>
                </c:pt>
                <c:pt idx="704">
                  <c:v>38.400000000000205</c:v>
                </c:pt>
                <c:pt idx="705">
                  <c:v>38.500000000000206</c:v>
                </c:pt>
                <c:pt idx="706">
                  <c:v>38.600000000000207</c:v>
                </c:pt>
                <c:pt idx="707">
                  <c:v>38.700000000000209</c:v>
                </c:pt>
                <c:pt idx="708">
                  <c:v>38.80000000000021</c:v>
                </c:pt>
                <c:pt idx="709">
                  <c:v>38.900000000000212</c:v>
                </c:pt>
                <c:pt idx="710">
                  <c:v>39.000000000000213</c:v>
                </c:pt>
                <c:pt idx="711">
                  <c:v>39.100000000000215</c:v>
                </c:pt>
                <c:pt idx="712">
                  <c:v>39.200000000000216</c:v>
                </c:pt>
                <c:pt idx="713">
                  <c:v>39.300000000000217</c:v>
                </c:pt>
                <c:pt idx="714">
                  <c:v>39.400000000000219</c:v>
                </c:pt>
                <c:pt idx="715">
                  <c:v>39.50000000000022</c:v>
                </c:pt>
                <c:pt idx="716">
                  <c:v>39.600000000000222</c:v>
                </c:pt>
                <c:pt idx="717">
                  <c:v>39.700000000000223</c:v>
                </c:pt>
                <c:pt idx="718">
                  <c:v>39.800000000000225</c:v>
                </c:pt>
                <c:pt idx="719">
                  <c:v>39.900000000000226</c:v>
                </c:pt>
                <c:pt idx="720">
                  <c:v>40.000000000000227</c:v>
                </c:pt>
                <c:pt idx="721">
                  <c:v>40.100000000000229</c:v>
                </c:pt>
                <c:pt idx="722">
                  <c:v>40.20000000000023</c:v>
                </c:pt>
                <c:pt idx="723">
                  <c:v>40.300000000000232</c:v>
                </c:pt>
                <c:pt idx="724">
                  <c:v>40.400000000000233</c:v>
                </c:pt>
                <c:pt idx="725">
                  <c:v>40.500000000000234</c:v>
                </c:pt>
                <c:pt idx="726">
                  <c:v>40.600000000000236</c:v>
                </c:pt>
                <c:pt idx="727">
                  <c:v>40.700000000000237</c:v>
                </c:pt>
                <c:pt idx="728">
                  <c:v>40.800000000000239</c:v>
                </c:pt>
                <c:pt idx="729">
                  <c:v>40.90000000000024</c:v>
                </c:pt>
                <c:pt idx="730">
                  <c:v>41.000000000000242</c:v>
                </c:pt>
                <c:pt idx="731">
                  <c:v>41.100000000000243</c:v>
                </c:pt>
                <c:pt idx="732">
                  <c:v>41.200000000000244</c:v>
                </c:pt>
                <c:pt idx="733">
                  <c:v>41.300000000000246</c:v>
                </c:pt>
                <c:pt idx="734">
                  <c:v>41.400000000000247</c:v>
                </c:pt>
                <c:pt idx="735">
                  <c:v>41.500000000000249</c:v>
                </c:pt>
                <c:pt idx="736">
                  <c:v>41.60000000000025</c:v>
                </c:pt>
                <c:pt idx="737">
                  <c:v>41.700000000000252</c:v>
                </c:pt>
                <c:pt idx="738">
                  <c:v>41.800000000000253</c:v>
                </c:pt>
                <c:pt idx="739">
                  <c:v>41.900000000000254</c:v>
                </c:pt>
                <c:pt idx="740">
                  <c:v>42.000000000000256</c:v>
                </c:pt>
                <c:pt idx="741">
                  <c:v>42.100000000000257</c:v>
                </c:pt>
                <c:pt idx="742">
                  <c:v>42.200000000000259</c:v>
                </c:pt>
                <c:pt idx="743">
                  <c:v>42.30000000000026</c:v>
                </c:pt>
                <c:pt idx="744">
                  <c:v>42.400000000000261</c:v>
                </c:pt>
                <c:pt idx="745">
                  <c:v>42.500000000000263</c:v>
                </c:pt>
                <c:pt idx="746">
                  <c:v>42.600000000000264</c:v>
                </c:pt>
                <c:pt idx="747">
                  <c:v>42.700000000000266</c:v>
                </c:pt>
                <c:pt idx="748">
                  <c:v>42.800000000000267</c:v>
                </c:pt>
                <c:pt idx="749">
                  <c:v>42.900000000000269</c:v>
                </c:pt>
                <c:pt idx="750">
                  <c:v>43.00000000000027</c:v>
                </c:pt>
                <c:pt idx="751">
                  <c:v>43.100000000000271</c:v>
                </c:pt>
                <c:pt idx="752">
                  <c:v>43.200000000000273</c:v>
                </c:pt>
                <c:pt idx="753">
                  <c:v>43.300000000000274</c:v>
                </c:pt>
                <c:pt idx="754">
                  <c:v>43.400000000000276</c:v>
                </c:pt>
                <c:pt idx="755">
                  <c:v>43.500000000000277</c:v>
                </c:pt>
                <c:pt idx="756">
                  <c:v>43.600000000000279</c:v>
                </c:pt>
                <c:pt idx="757">
                  <c:v>43.70000000000028</c:v>
                </c:pt>
                <c:pt idx="758">
                  <c:v>43.800000000000281</c:v>
                </c:pt>
                <c:pt idx="759">
                  <c:v>43.900000000000283</c:v>
                </c:pt>
                <c:pt idx="760">
                  <c:v>44.000000000000284</c:v>
                </c:pt>
                <c:pt idx="761">
                  <c:v>44.100000000000286</c:v>
                </c:pt>
                <c:pt idx="762">
                  <c:v>44.200000000000287</c:v>
                </c:pt>
                <c:pt idx="763">
                  <c:v>44.300000000000288</c:v>
                </c:pt>
                <c:pt idx="764">
                  <c:v>44.40000000000029</c:v>
                </c:pt>
                <c:pt idx="765">
                  <c:v>44.500000000000291</c:v>
                </c:pt>
                <c:pt idx="766">
                  <c:v>44.600000000000293</c:v>
                </c:pt>
                <c:pt idx="767">
                  <c:v>44.700000000000294</c:v>
                </c:pt>
                <c:pt idx="768">
                  <c:v>44.800000000000296</c:v>
                </c:pt>
                <c:pt idx="769">
                  <c:v>44.900000000000297</c:v>
                </c:pt>
                <c:pt idx="770">
                  <c:v>45.000000000000298</c:v>
                </c:pt>
                <c:pt idx="771">
                  <c:v>45.1000000000003</c:v>
                </c:pt>
                <c:pt idx="772">
                  <c:v>45.200000000000301</c:v>
                </c:pt>
                <c:pt idx="773">
                  <c:v>45.300000000000303</c:v>
                </c:pt>
                <c:pt idx="774">
                  <c:v>45.400000000000304</c:v>
                </c:pt>
                <c:pt idx="775">
                  <c:v>45.500000000000306</c:v>
                </c:pt>
                <c:pt idx="776">
                  <c:v>45.600000000000307</c:v>
                </c:pt>
                <c:pt idx="777">
                  <c:v>45.700000000000308</c:v>
                </c:pt>
                <c:pt idx="778">
                  <c:v>45.80000000000031</c:v>
                </c:pt>
                <c:pt idx="779">
                  <c:v>45.900000000000311</c:v>
                </c:pt>
                <c:pt idx="780">
                  <c:v>46.000000000000313</c:v>
                </c:pt>
                <c:pt idx="781">
                  <c:v>46.100000000000314</c:v>
                </c:pt>
                <c:pt idx="782">
                  <c:v>46.200000000000315</c:v>
                </c:pt>
                <c:pt idx="783">
                  <c:v>46.300000000000317</c:v>
                </c:pt>
                <c:pt idx="784">
                  <c:v>46.400000000000318</c:v>
                </c:pt>
                <c:pt idx="785">
                  <c:v>46.50000000000032</c:v>
                </c:pt>
                <c:pt idx="786">
                  <c:v>46.600000000000321</c:v>
                </c:pt>
                <c:pt idx="787">
                  <c:v>46.700000000000323</c:v>
                </c:pt>
                <c:pt idx="788">
                  <c:v>46.800000000000324</c:v>
                </c:pt>
                <c:pt idx="789">
                  <c:v>46.900000000000325</c:v>
                </c:pt>
                <c:pt idx="790">
                  <c:v>47.000000000000327</c:v>
                </c:pt>
                <c:pt idx="791">
                  <c:v>47.100000000000328</c:v>
                </c:pt>
                <c:pt idx="792">
                  <c:v>47.20000000000033</c:v>
                </c:pt>
                <c:pt idx="793">
                  <c:v>47.300000000000331</c:v>
                </c:pt>
                <c:pt idx="794">
                  <c:v>47.400000000000333</c:v>
                </c:pt>
                <c:pt idx="795">
                  <c:v>47.500000000000334</c:v>
                </c:pt>
                <c:pt idx="796">
                  <c:v>47.600000000000335</c:v>
                </c:pt>
                <c:pt idx="797">
                  <c:v>47.700000000000337</c:v>
                </c:pt>
                <c:pt idx="798">
                  <c:v>47.800000000000338</c:v>
                </c:pt>
                <c:pt idx="799">
                  <c:v>47.90000000000034</c:v>
                </c:pt>
                <c:pt idx="800">
                  <c:v>48.000000000000341</c:v>
                </c:pt>
                <c:pt idx="801">
                  <c:v>48.100000000000342</c:v>
                </c:pt>
                <c:pt idx="802">
                  <c:v>48.200000000000344</c:v>
                </c:pt>
                <c:pt idx="803">
                  <c:v>48.300000000000345</c:v>
                </c:pt>
                <c:pt idx="804">
                  <c:v>48.400000000000347</c:v>
                </c:pt>
                <c:pt idx="805">
                  <c:v>48.500000000000348</c:v>
                </c:pt>
                <c:pt idx="806">
                  <c:v>48.60000000000035</c:v>
                </c:pt>
                <c:pt idx="807">
                  <c:v>48.700000000000351</c:v>
                </c:pt>
                <c:pt idx="808">
                  <c:v>48.800000000000352</c:v>
                </c:pt>
                <c:pt idx="809">
                  <c:v>48.900000000000354</c:v>
                </c:pt>
                <c:pt idx="810">
                  <c:v>49.000000000000355</c:v>
                </c:pt>
                <c:pt idx="811">
                  <c:v>49.100000000000357</c:v>
                </c:pt>
                <c:pt idx="812">
                  <c:v>49.200000000000358</c:v>
                </c:pt>
                <c:pt idx="813">
                  <c:v>49.30000000000036</c:v>
                </c:pt>
                <c:pt idx="814">
                  <c:v>49.400000000000361</c:v>
                </c:pt>
                <c:pt idx="815">
                  <c:v>49.500000000000362</c:v>
                </c:pt>
                <c:pt idx="816">
                  <c:v>49.600000000000364</c:v>
                </c:pt>
                <c:pt idx="817">
                  <c:v>49.700000000000365</c:v>
                </c:pt>
                <c:pt idx="818">
                  <c:v>49.800000000000367</c:v>
                </c:pt>
                <c:pt idx="819">
                  <c:v>49.900000000000368</c:v>
                </c:pt>
                <c:pt idx="820">
                  <c:v>50.000000000000369</c:v>
                </c:pt>
                <c:pt idx="821">
                  <c:v>50.100000000000371</c:v>
                </c:pt>
                <c:pt idx="822">
                  <c:v>50.200000000000372</c:v>
                </c:pt>
                <c:pt idx="823">
                  <c:v>50.300000000000374</c:v>
                </c:pt>
                <c:pt idx="824">
                  <c:v>50.400000000000375</c:v>
                </c:pt>
                <c:pt idx="825">
                  <c:v>50.500000000000377</c:v>
                </c:pt>
                <c:pt idx="826">
                  <c:v>50.600000000000378</c:v>
                </c:pt>
                <c:pt idx="827">
                  <c:v>50.700000000000379</c:v>
                </c:pt>
                <c:pt idx="828">
                  <c:v>50.800000000000381</c:v>
                </c:pt>
                <c:pt idx="829">
                  <c:v>50.900000000000382</c:v>
                </c:pt>
                <c:pt idx="830">
                  <c:v>51.000000000000384</c:v>
                </c:pt>
                <c:pt idx="831">
                  <c:v>51.100000000000385</c:v>
                </c:pt>
                <c:pt idx="832">
                  <c:v>51.200000000000387</c:v>
                </c:pt>
                <c:pt idx="833">
                  <c:v>51.300000000000388</c:v>
                </c:pt>
                <c:pt idx="834">
                  <c:v>51.400000000000389</c:v>
                </c:pt>
                <c:pt idx="835">
                  <c:v>51.500000000000391</c:v>
                </c:pt>
                <c:pt idx="836">
                  <c:v>51.600000000000392</c:v>
                </c:pt>
                <c:pt idx="837">
                  <c:v>51.700000000000394</c:v>
                </c:pt>
                <c:pt idx="838">
                  <c:v>51.800000000000395</c:v>
                </c:pt>
                <c:pt idx="839">
                  <c:v>51.900000000000396</c:v>
                </c:pt>
                <c:pt idx="840">
                  <c:v>52.000000000000398</c:v>
                </c:pt>
                <c:pt idx="841">
                  <c:v>52.100000000000399</c:v>
                </c:pt>
                <c:pt idx="842">
                  <c:v>52.200000000000401</c:v>
                </c:pt>
                <c:pt idx="843">
                  <c:v>52.300000000000402</c:v>
                </c:pt>
                <c:pt idx="844">
                  <c:v>52.400000000000404</c:v>
                </c:pt>
                <c:pt idx="845">
                  <c:v>52.500000000000405</c:v>
                </c:pt>
                <c:pt idx="846">
                  <c:v>52.600000000000406</c:v>
                </c:pt>
                <c:pt idx="847">
                  <c:v>52.700000000000408</c:v>
                </c:pt>
                <c:pt idx="848">
                  <c:v>52.800000000000409</c:v>
                </c:pt>
                <c:pt idx="849">
                  <c:v>52.900000000000411</c:v>
                </c:pt>
                <c:pt idx="850">
                  <c:v>53.000000000000412</c:v>
                </c:pt>
                <c:pt idx="851">
                  <c:v>53.100000000000414</c:v>
                </c:pt>
                <c:pt idx="852">
                  <c:v>53.200000000000415</c:v>
                </c:pt>
                <c:pt idx="853">
                  <c:v>53.300000000000416</c:v>
                </c:pt>
                <c:pt idx="854">
                  <c:v>53.400000000000418</c:v>
                </c:pt>
                <c:pt idx="855">
                  <c:v>53.500000000000419</c:v>
                </c:pt>
                <c:pt idx="856">
                  <c:v>53.600000000000421</c:v>
                </c:pt>
                <c:pt idx="857">
                  <c:v>53.700000000000422</c:v>
                </c:pt>
                <c:pt idx="858">
                  <c:v>53.800000000000423</c:v>
                </c:pt>
                <c:pt idx="859">
                  <c:v>53.900000000000425</c:v>
                </c:pt>
                <c:pt idx="860">
                  <c:v>54.000000000000426</c:v>
                </c:pt>
                <c:pt idx="861">
                  <c:v>54.100000000000428</c:v>
                </c:pt>
                <c:pt idx="862">
                  <c:v>54.200000000000429</c:v>
                </c:pt>
                <c:pt idx="863">
                  <c:v>54.300000000000431</c:v>
                </c:pt>
                <c:pt idx="864">
                  <c:v>54.400000000000432</c:v>
                </c:pt>
                <c:pt idx="865">
                  <c:v>54.500000000000433</c:v>
                </c:pt>
                <c:pt idx="866">
                  <c:v>54.600000000000435</c:v>
                </c:pt>
                <c:pt idx="867">
                  <c:v>54.700000000000436</c:v>
                </c:pt>
                <c:pt idx="868">
                  <c:v>54.800000000000438</c:v>
                </c:pt>
                <c:pt idx="869">
                  <c:v>54.900000000000439</c:v>
                </c:pt>
                <c:pt idx="870">
                  <c:v>55.000000000000441</c:v>
                </c:pt>
                <c:pt idx="871">
                  <c:v>55.100000000000442</c:v>
                </c:pt>
                <c:pt idx="872">
                  <c:v>55.200000000000443</c:v>
                </c:pt>
                <c:pt idx="873">
                  <c:v>55.300000000000445</c:v>
                </c:pt>
                <c:pt idx="874">
                  <c:v>55.400000000000446</c:v>
                </c:pt>
                <c:pt idx="875">
                  <c:v>55.500000000000448</c:v>
                </c:pt>
                <c:pt idx="876">
                  <c:v>55.600000000000449</c:v>
                </c:pt>
                <c:pt idx="877">
                  <c:v>55.70000000000045</c:v>
                </c:pt>
                <c:pt idx="878">
                  <c:v>55.800000000000452</c:v>
                </c:pt>
                <c:pt idx="879">
                  <c:v>55.900000000000453</c:v>
                </c:pt>
                <c:pt idx="880">
                  <c:v>56.000000000000455</c:v>
                </c:pt>
                <c:pt idx="881">
                  <c:v>56.100000000000456</c:v>
                </c:pt>
                <c:pt idx="882">
                  <c:v>56.200000000000458</c:v>
                </c:pt>
                <c:pt idx="883">
                  <c:v>56.300000000000459</c:v>
                </c:pt>
                <c:pt idx="884">
                  <c:v>56.40000000000046</c:v>
                </c:pt>
                <c:pt idx="885">
                  <c:v>56.500000000000462</c:v>
                </c:pt>
                <c:pt idx="886">
                  <c:v>56.600000000000463</c:v>
                </c:pt>
                <c:pt idx="887">
                  <c:v>56.700000000000465</c:v>
                </c:pt>
                <c:pt idx="888">
                  <c:v>56.800000000000466</c:v>
                </c:pt>
                <c:pt idx="889">
                  <c:v>56.900000000000468</c:v>
                </c:pt>
                <c:pt idx="890">
                  <c:v>57.000000000000469</c:v>
                </c:pt>
                <c:pt idx="891">
                  <c:v>57.10000000000047</c:v>
                </c:pt>
                <c:pt idx="892">
                  <c:v>57.200000000000472</c:v>
                </c:pt>
                <c:pt idx="893">
                  <c:v>57.300000000000473</c:v>
                </c:pt>
                <c:pt idx="894">
                  <c:v>57.400000000000475</c:v>
                </c:pt>
                <c:pt idx="895">
                  <c:v>57.500000000000476</c:v>
                </c:pt>
                <c:pt idx="896">
                  <c:v>57.600000000000477</c:v>
                </c:pt>
                <c:pt idx="897">
                  <c:v>57.700000000000479</c:v>
                </c:pt>
                <c:pt idx="898">
                  <c:v>57.80000000000048</c:v>
                </c:pt>
                <c:pt idx="899">
                  <c:v>57.900000000000482</c:v>
                </c:pt>
                <c:pt idx="900">
                  <c:v>58.000000000000483</c:v>
                </c:pt>
                <c:pt idx="901">
                  <c:v>58.100000000000485</c:v>
                </c:pt>
                <c:pt idx="902">
                  <c:v>58.200000000000486</c:v>
                </c:pt>
                <c:pt idx="903">
                  <c:v>58.300000000000487</c:v>
                </c:pt>
                <c:pt idx="904">
                  <c:v>58.400000000000489</c:v>
                </c:pt>
                <c:pt idx="905">
                  <c:v>58.50000000000049</c:v>
                </c:pt>
                <c:pt idx="906">
                  <c:v>58.600000000000492</c:v>
                </c:pt>
                <c:pt idx="907">
                  <c:v>58.700000000000493</c:v>
                </c:pt>
                <c:pt idx="908">
                  <c:v>58.800000000000495</c:v>
                </c:pt>
                <c:pt idx="909">
                  <c:v>58.900000000000496</c:v>
                </c:pt>
                <c:pt idx="910">
                  <c:v>59.000000000000497</c:v>
                </c:pt>
                <c:pt idx="911">
                  <c:v>59.100000000000499</c:v>
                </c:pt>
                <c:pt idx="912">
                  <c:v>59.2000000000005</c:v>
                </c:pt>
                <c:pt idx="913">
                  <c:v>59.300000000000502</c:v>
                </c:pt>
                <c:pt idx="914">
                  <c:v>59.400000000000503</c:v>
                </c:pt>
                <c:pt idx="915">
                  <c:v>59.500000000000504</c:v>
                </c:pt>
                <c:pt idx="916">
                  <c:v>59.600000000000506</c:v>
                </c:pt>
                <c:pt idx="917">
                  <c:v>59.700000000000507</c:v>
                </c:pt>
                <c:pt idx="918">
                  <c:v>59.800000000000509</c:v>
                </c:pt>
                <c:pt idx="919">
                  <c:v>59.90000000000051</c:v>
                </c:pt>
                <c:pt idx="920">
                  <c:v>60.000000000000512</c:v>
                </c:pt>
                <c:pt idx="921">
                  <c:v>60.100000000000513</c:v>
                </c:pt>
                <c:pt idx="922">
                  <c:v>60.200000000000514</c:v>
                </c:pt>
                <c:pt idx="923">
                  <c:v>60.300000000000516</c:v>
                </c:pt>
                <c:pt idx="924">
                  <c:v>60.400000000000517</c:v>
                </c:pt>
                <c:pt idx="925">
                  <c:v>60.500000000000519</c:v>
                </c:pt>
                <c:pt idx="926">
                  <c:v>60.60000000000052</c:v>
                </c:pt>
                <c:pt idx="927">
                  <c:v>60.700000000000522</c:v>
                </c:pt>
                <c:pt idx="928">
                  <c:v>60.800000000000523</c:v>
                </c:pt>
                <c:pt idx="929">
                  <c:v>60.900000000000524</c:v>
                </c:pt>
                <c:pt idx="930">
                  <c:v>60.900100000000528</c:v>
                </c:pt>
                <c:pt idx="931">
                  <c:v>60.900200000000531</c:v>
                </c:pt>
                <c:pt idx="932">
                  <c:v>60.900300000000534</c:v>
                </c:pt>
                <c:pt idx="933">
                  <c:v>60.900400000000538</c:v>
                </c:pt>
                <c:pt idx="934">
                  <c:v>60.900500000000541</c:v>
                </c:pt>
                <c:pt idx="935">
                  <c:v>60.900600000000544</c:v>
                </c:pt>
                <c:pt idx="936">
                  <c:v>60.900700000000548</c:v>
                </c:pt>
                <c:pt idx="937">
                  <c:v>60.900800000000551</c:v>
                </c:pt>
                <c:pt idx="938">
                  <c:v>60.900900000000554</c:v>
                </c:pt>
                <c:pt idx="939">
                  <c:v>60.901000000000558</c:v>
                </c:pt>
                <c:pt idx="940">
                  <c:v>60.901100000000561</c:v>
                </c:pt>
                <c:pt idx="941">
                  <c:v>60.901200000000564</c:v>
                </c:pt>
                <c:pt idx="942">
                  <c:v>60.901300000000568</c:v>
                </c:pt>
                <c:pt idx="943">
                  <c:v>60.901400000000571</c:v>
                </c:pt>
                <c:pt idx="944">
                  <c:v>60.901500000000574</c:v>
                </c:pt>
                <c:pt idx="945">
                  <c:v>60.901600000000577</c:v>
                </c:pt>
                <c:pt idx="946">
                  <c:v>60.901700000000581</c:v>
                </c:pt>
                <c:pt idx="947">
                  <c:v>60.901800000000584</c:v>
                </c:pt>
                <c:pt idx="948">
                  <c:v>60.901900000000587</c:v>
                </c:pt>
                <c:pt idx="949">
                  <c:v>60.902000000000591</c:v>
                </c:pt>
                <c:pt idx="950">
                  <c:v>60.902100000000594</c:v>
                </c:pt>
                <c:pt idx="951">
                  <c:v>60.902200000000597</c:v>
                </c:pt>
                <c:pt idx="952">
                  <c:v>60.902300000000601</c:v>
                </c:pt>
                <c:pt idx="953">
                  <c:v>60.902400000000604</c:v>
                </c:pt>
                <c:pt idx="954">
                  <c:v>60.902500000000607</c:v>
                </c:pt>
                <c:pt idx="955">
                  <c:v>60.902600000000611</c:v>
                </c:pt>
                <c:pt idx="956">
                  <c:v>60.902700000000614</c:v>
                </c:pt>
                <c:pt idx="957">
                  <c:v>60.902800000000617</c:v>
                </c:pt>
                <c:pt idx="958">
                  <c:v>60.902900000000621</c:v>
                </c:pt>
                <c:pt idx="959">
                  <c:v>60.903000000000624</c:v>
                </c:pt>
                <c:pt idx="960">
                  <c:v>60.903100000000627</c:v>
                </c:pt>
                <c:pt idx="961">
                  <c:v>60.903200000000631</c:v>
                </c:pt>
                <c:pt idx="962">
                  <c:v>60.903300000000634</c:v>
                </c:pt>
                <c:pt idx="963">
                  <c:v>60.903400000000637</c:v>
                </c:pt>
                <c:pt idx="964">
                  <c:v>60.903500000000641</c:v>
                </c:pt>
                <c:pt idx="965">
                  <c:v>60.903600000000644</c:v>
                </c:pt>
                <c:pt idx="966">
                  <c:v>60.903700000000647</c:v>
                </c:pt>
                <c:pt idx="967">
                  <c:v>60.903800000000651</c:v>
                </c:pt>
                <c:pt idx="968">
                  <c:v>60.903900000000654</c:v>
                </c:pt>
                <c:pt idx="969">
                  <c:v>60.904000000000657</c:v>
                </c:pt>
                <c:pt idx="970">
                  <c:v>60.90410000000066</c:v>
                </c:pt>
                <c:pt idx="971">
                  <c:v>60.904200000000664</c:v>
                </c:pt>
                <c:pt idx="972">
                  <c:v>60.904300000000667</c:v>
                </c:pt>
                <c:pt idx="973">
                  <c:v>60.90440000000067</c:v>
                </c:pt>
                <c:pt idx="974">
                  <c:v>60.904500000000674</c:v>
                </c:pt>
                <c:pt idx="975">
                  <c:v>60.904600000000677</c:v>
                </c:pt>
                <c:pt idx="976">
                  <c:v>60.90470000000068</c:v>
                </c:pt>
                <c:pt idx="977">
                  <c:v>60.904800000000684</c:v>
                </c:pt>
                <c:pt idx="978">
                  <c:v>60.904900000000687</c:v>
                </c:pt>
                <c:pt idx="979">
                  <c:v>60.90500000000069</c:v>
                </c:pt>
                <c:pt idx="980">
                  <c:v>60.905100000000694</c:v>
                </c:pt>
                <c:pt idx="981">
                  <c:v>60.905200000000697</c:v>
                </c:pt>
                <c:pt idx="982">
                  <c:v>60.9053000000007</c:v>
                </c:pt>
                <c:pt idx="983">
                  <c:v>60.905400000000704</c:v>
                </c:pt>
                <c:pt idx="984">
                  <c:v>60.905500000000707</c:v>
                </c:pt>
                <c:pt idx="985">
                  <c:v>60.90560000000071</c:v>
                </c:pt>
                <c:pt idx="986">
                  <c:v>60.905700000000714</c:v>
                </c:pt>
                <c:pt idx="987">
                  <c:v>60.905800000000717</c:v>
                </c:pt>
                <c:pt idx="988">
                  <c:v>60.90590000000072</c:v>
                </c:pt>
                <c:pt idx="989">
                  <c:v>60.906000000000724</c:v>
                </c:pt>
                <c:pt idx="990">
                  <c:v>60.906100000000727</c:v>
                </c:pt>
                <c:pt idx="991">
                  <c:v>60.90620000000073</c:v>
                </c:pt>
                <c:pt idx="992">
                  <c:v>60.906300000000734</c:v>
                </c:pt>
                <c:pt idx="993">
                  <c:v>60.906400000000737</c:v>
                </c:pt>
                <c:pt idx="994">
                  <c:v>60.90650000000074</c:v>
                </c:pt>
                <c:pt idx="995">
                  <c:v>60.906600000000743</c:v>
                </c:pt>
                <c:pt idx="996">
                  <c:v>60.906700000000747</c:v>
                </c:pt>
                <c:pt idx="997">
                  <c:v>60.90680000000075</c:v>
                </c:pt>
                <c:pt idx="998">
                  <c:v>60.906900000000753</c:v>
                </c:pt>
                <c:pt idx="999">
                  <c:v>60.907000000000757</c:v>
                </c:pt>
                <c:pt idx="1000">
                  <c:v>60.90710000000076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358.22</c:v>
                </c:pt>
                <c:pt idx="1">
                  <c:v>359.48699323120798</c:v>
                </c:pt>
                <c:pt idx="2">
                  <c:v>360.75517890128333</c:v>
                </c:pt>
                <c:pt idx="3">
                  <c:v>362.02720502605382</c:v>
                </c:pt>
                <c:pt idx="4">
                  <c:v>363.30571997979428</c:v>
                </c:pt>
                <c:pt idx="5">
                  <c:v>364.59337354548046</c:v>
                </c:pt>
                <c:pt idx="6">
                  <c:v>365.89214634546295</c:v>
                </c:pt>
                <c:pt idx="7">
                  <c:v>367.20267761929568</c:v>
                </c:pt>
                <c:pt idx="8">
                  <c:v>368.5249352923118</c:v>
                </c:pt>
                <c:pt idx="9">
                  <c:v>369.8588871748924</c:v>
                </c:pt>
                <c:pt idx="10">
                  <c:v>371.20450096316586</c:v>
                </c:pt>
                <c:pt idx="11">
                  <c:v>372.56174423971169</c:v>
                </c:pt>
                <c:pt idx="12">
                  <c:v>373.9305844742687</c:v>
                </c:pt>
                <c:pt idx="13">
                  <c:v>375.31098902444791</c:v>
                </c:pt>
                <c:pt idx="14">
                  <c:v>376.70292513644944</c:v>
                </c:pt>
                <c:pt idx="15">
                  <c:v>378.10635994578399</c:v>
                </c:pt>
                <c:pt idx="16">
                  <c:v>379.52126047799817</c:v>
                </c:pt>
                <c:pt idx="17">
                  <c:v>380.94759364940404</c:v>
                </c:pt>
                <c:pt idx="18">
                  <c:v>382.38532626781262</c:v>
                </c:pt>
                <c:pt idx="19">
                  <c:v>383.8344250332712</c:v>
                </c:pt>
                <c:pt idx="20">
                  <c:v>385.29485653880454</c:v>
                </c:pt>
                <c:pt idx="21">
                  <c:v>386.76658727115984</c:v>
                </c:pt>
                <c:pt idx="22">
                  <c:v>388.24958361155512</c:v>
                </c:pt>
                <c:pt idx="23">
                  <c:v>389.74381183643141</c:v>
                </c:pt>
                <c:pt idx="24">
                  <c:v>391.24923811820821</c:v>
                </c:pt>
                <c:pt idx="25">
                  <c:v>392.76582852604253</c:v>
                </c:pt>
                <c:pt idx="26">
                  <c:v>394.29354902659088</c:v>
                </c:pt>
                <c:pt idx="27">
                  <c:v>395.83236548477504</c:v>
                </c:pt>
                <c:pt idx="28">
                  <c:v>397.38224366455046</c:v>
                </c:pt>
                <c:pt idx="29">
                  <c:v>398.94314922967789</c:v>
                </c:pt>
                <c:pt idx="30">
                  <c:v>400.51504774449819</c:v>
                </c:pt>
                <c:pt idx="31">
                  <c:v>402.09790467470981</c:v>
                </c:pt>
                <c:pt idx="32">
                  <c:v>403.6916853881491</c:v>
                </c:pt>
                <c:pt idx="33">
                  <c:v>405.29635515557356</c:v>
                </c:pt>
                <c:pt idx="34">
                  <c:v>406.91187915144764</c:v>
                </c:pt>
                <c:pt idx="35">
                  <c:v>408.53822245473111</c:v>
                </c:pt>
                <c:pt idx="36">
                  <c:v>410.17535004966999</c:v>
                </c:pt>
                <c:pt idx="37">
                  <c:v>411.82322682658997</c:v>
                </c:pt>
                <c:pt idx="38">
                  <c:v>413.48181758269214</c:v>
                </c:pt>
                <c:pt idx="39">
                  <c:v>415.15108702285113</c:v>
                </c:pt>
                <c:pt idx="40">
                  <c:v>416.83099976041524</c:v>
                </c:pt>
                <c:pt idx="41">
                  <c:v>418.52152031800892</c:v>
                </c:pt>
                <c:pt idx="42">
                  <c:v>420.22261312833734</c:v>
                </c:pt>
                <c:pt idx="43">
                  <c:v>421.93424253499279</c:v>
                </c:pt>
                <c:pt idx="44">
                  <c:v>423.65637279326319</c:v>
                </c:pt>
                <c:pt idx="45">
                  <c:v>425.38896807094227</c:v>
                </c:pt>
                <c:pt idx="46">
                  <c:v>427.13199244914176</c:v>
                </c:pt>
                <c:pt idx="47">
                  <c:v>428.8854099231051</c:v>
                </c:pt>
                <c:pt idx="48">
                  <c:v>430.6491844030229</c:v>
                </c:pt>
                <c:pt idx="49">
                  <c:v>432.42327971484985</c:v>
                </c:pt>
                <c:pt idx="50">
                  <c:v>434.20765960112328</c:v>
                </c:pt>
                <c:pt idx="51">
                  <c:v>436.00229128152</c:v>
                </c:pt>
                <c:pt idx="52">
                  <c:v>437.80714901800877</c:v>
                </c:pt>
                <c:pt idx="53">
                  <c:v>439.62221056069609</c:v>
                </c:pt>
                <c:pt idx="54">
                  <c:v>441.44745358889804</c:v>
                </c:pt>
                <c:pt idx="55">
                  <c:v>443.28285571160336</c:v>
                </c:pt>
                <c:pt idx="56">
                  <c:v>445.12839446793811</c:v>
                </c:pt>
                <c:pt idx="57">
                  <c:v>446.98404732763231</c:v>
                </c:pt>
                <c:pt idx="58">
                  <c:v>448.84979169148824</c:v>
                </c:pt>
                <c:pt idx="59">
                  <c:v>450.72560489185025</c:v>
                </c:pt>
                <c:pt idx="60">
                  <c:v>452.61146419307659</c:v>
                </c:pt>
                <c:pt idx="61">
                  <c:v>454.50734679201236</c:v>
                </c:pt>
                <c:pt idx="62">
                  <c:v>456.41322981846452</c:v>
                </c:pt>
                <c:pt idx="63">
                  <c:v>458.32909033567802</c:v>
                </c:pt>
                <c:pt idx="64">
                  <c:v>460.25490534081393</c:v>
                </c:pt>
                <c:pt idx="65">
                  <c:v>462.19065176542841</c:v>
                </c:pt>
                <c:pt idx="66">
                  <c:v>464.13630647595375</c:v>
                </c:pt>
                <c:pt idx="67">
                  <c:v>466.09184627418034</c:v>
                </c:pt>
                <c:pt idx="68">
                  <c:v>468.0572478977403</c:v>
                </c:pt>
                <c:pt idx="69">
                  <c:v>470.03248802059233</c:v>
                </c:pt>
                <c:pt idx="70">
                  <c:v>472.01754325350782</c:v>
                </c:pt>
                <c:pt idx="71">
                  <c:v>474.01239014455831</c:v>
                </c:pt>
                <c:pt idx="72">
                  <c:v>476.01700517960404</c:v>
                </c:pt>
                <c:pt idx="73">
                  <c:v>478.03136478278401</c:v>
                </c:pt>
                <c:pt idx="74">
                  <c:v>480.05544531700679</c:v>
                </c:pt>
                <c:pt idx="75">
                  <c:v>482.08922308444272</c:v>
                </c:pt>
                <c:pt idx="76">
                  <c:v>484.13267432701713</c:v>
                </c:pt>
                <c:pt idx="77">
                  <c:v>486.18577522690464</c:v>
                </c:pt>
                <c:pt idx="78">
                  <c:v>488.24850190702443</c:v>
                </c:pt>
                <c:pt idx="79">
                  <c:v>490.32083043153659</c:v>
                </c:pt>
                <c:pt idx="80">
                  <c:v>492.40273680633931</c:v>
                </c:pt>
                <c:pt idx="81">
                  <c:v>494.49419697956705</c:v>
                </c:pt>
                <c:pt idx="82">
                  <c:v>496.59518684208967</c:v>
                </c:pt>
                <c:pt idx="83">
                  <c:v>498.70568222801234</c:v>
                </c:pt>
                <c:pt idx="84">
                  <c:v>500.82565891517618</c:v>
                </c:pt>
                <c:pt idx="85">
                  <c:v>502.95509262565986</c:v>
                </c:pt>
                <c:pt idx="86">
                  <c:v>505.09395902628182</c:v>
                </c:pt>
                <c:pt idx="87">
                  <c:v>507.24223372910342</c:v>
                </c:pt>
                <c:pt idx="88">
                  <c:v>509.39989229193242</c:v>
                </c:pt>
                <c:pt idx="89">
                  <c:v>511.56691021882739</c:v>
                </c:pt>
                <c:pt idx="90">
                  <c:v>513.74326296060281</c:v>
                </c:pt>
                <c:pt idx="91">
                  <c:v>515.92892591533439</c:v>
                </c:pt>
                <c:pt idx="92">
                  <c:v>518.12387442886529</c:v>
                </c:pt>
                <c:pt idx="93">
                  <c:v>520.32808379531275</c:v>
                </c:pt>
                <c:pt idx="94">
                  <c:v>522.54152925757523</c:v>
                </c:pt>
                <c:pt idx="95">
                  <c:v>524.76418600783995</c:v>
                </c:pt>
                <c:pt idx="96">
                  <c:v>526.9960291880908</c:v>
                </c:pt>
                <c:pt idx="97">
                  <c:v>529.23703389061689</c:v>
                </c:pt>
                <c:pt idx="98">
                  <c:v>531.48717515852127</c:v>
                </c:pt>
                <c:pt idx="99">
                  <c:v>533.74642798622995</c:v>
                </c:pt>
                <c:pt idx="100">
                  <c:v>536.01476732000128</c:v>
                </c:pt>
                <c:pt idx="101">
                  <c:v>538.29216640444599</c:v>
                </c:pt>
                <c:pt idx="102">
                  <c:v>540.57859512767118</c:v>
                </c:pt>
                <c:pt idx="103">
                  <c:v>542.87402167499397</c:v>
                </c:pt>
                <c:pt idx="104">
                  <c:v>545.17841418410751</c:v>
                </c:pt>
                <c:pt idx="105">
                  <c:v>547.49174074574341</c:v>
                </c:pt>
                <c:pt idx="106">
                  <c:v>549.8139694043341</c:v>
                </c:pt>
                <c:pt idx="107">
                  <c:v>552.14506815867389</c:v>
                </c:pt>
                <c:pt idx="108">
                  <c:v>554.48500496258009</c:v>
                </c:pt>
                <c:pt idx="109">
                  <c:v>556.83374772555351</c:v>
                </c:pt>
                <c:pt idx="110">
                  <c:v>559.19126431343773</c:v>
                </c:pt>
                <c:pt idx="111">
                  <c:v>561.55752254907839</c:v>
                </c:pt>
                <c:pt idx="112">
                  <c:v>563.93249021298118</c:v>
                </c:pt>
                <c:pt idx="113">
                  <c:v>566.31613504396944</c:v>
                </c:pt>
                <c:pt idx="114">
                  <c:v>568.70842473984055</c:v>
                </c:pt>
                <c:pt idx="115">
                  <c:v>571.10932695802205</c:v>
                </c:pt>
                <c:pt idx="116">
                  <c:v>573.51880931622622</c:v>
                </c:pt>
                <c:pt idx="117">
                  <c:v>575.93683939310404</c:v>
                </c:pt>
                <c:pt idx="118">
                  <c:v>578.36338472889838</c:v>
                </c:pt>
                <c:pt idx="119">
                  <c:v>580.79841282609561</c:v>
                </c:pt>
                <c:pt idx="120">
                  <c:v>583.24189115007687</c:v>
                </c:pt>
                <c:pt idx="121">
                  <c:v>585.69378712976766</c:v>
                </c:pt>
                <c:pt idx="122">
                  <c:v>588.15406815828646</c:v>
                </c:pt>
                <c:pt idx="123">
                  <c:v>590.62270159359264</c:v>
                </c:pt>
                <c:pt idx="124">
                  <c:v>593.09965475913236</c:v>
                </c:pt>
                <c:pt idx="125">
                  <c:v>595.58489494448384</c:v>
                </c:pt>
                <c:pt idx="126">
                  <c:v>598.07838940600118</c:v>
                </c:pt>
                <c:pt idx="127">
                  <c:v>600.58010536745701</c:v>
                </c:pt>
                <c:pt idx="128">
                  <c:v>603.09001002068351</c:v>
                </c:pt>
                <c:pt idx="129">
                  <c:v>605.60807052621226</c:v>
                </c:pt>
                <c:pt idx="130">
                  <c:v>608.13425401391248</c:v>
                </c:pt>
                <c:pt idx="131">
                  <c:v>610.66852758362825</c:v>
                </c:pt>
                <c:pt idx="132">
                  <c:v>613.21085830581387</c:v>
                </c:pt>
                <c:pt idx="133">
                  <c:v>615.76121322216761</c:v>
                </c:pt>
                <c:pt idx="134">
                  <c:v>618.31955934626444</c:v>
                </c:pt>
                <c:pt idx="135">
                  <c:v>620.88586366418645</c:v>
                </c:pt>
                <c:pt idx="136">
                  <c:v>623.46009313515242</c:v>
                </c:pt>
                <c:pt idx="137">
                  <c:v>626.04221469214508</c:v>
                </c:pt>
                <c:pt idx="138">
                  <c:v>628.63219524253725</c:v>
                </c:pt>
                <c:pt idx="139">
                  <c:v>631.23000166871566</c:v>
                </c:pt>
                <c:pt idx="140">
                  <c:v>633.83560082870372</c:v>
                </c:pt>
                <c:pt idx="141">
                  <c:v>636.4489595567818</c:v>
                </c:pt>
                <c:pt idx="142">
                  <c:v>639.07004466410649</c:v>
                </c:pt>
                <c:pt idx="143">
                  <c:v>641.69882293932721</c:v>
                </c:pt>
                <c:pt idx="144">
                  <c:v>644.33526114920153</c:v>
                </c:pt>
                <c:pt idx="145">
                  <c:v>646.97932603920833</c:v>
                </c:pt>
                <c:pt idx="146">
                  <c:v>649.63098433415917</c:v>
                </c:pt>
                <c:pt idx="147">
                  <c:v>652.29020273880758</c:v>
                </c:pt>
                <c:pt idx="148">
                  <c:v>654.95694793845644</c:v>
                </c:pt>
                <c:pt idx="149">
                  <c:v>657.63118659956353</c:v>
                </c:pt>
                <c:pt idx="150">
                  <c:v>660.31288537034447</c:v>
                </c:pt>
                <c:pt idx="151">
                  <c:v>663.00201144821119</c:v>
                </c:pt>
                <c:pt idx="152">
                  <c:v>665.69853314739169</c:v>
                </c:pt>
                <c:pt idx="153">
                  <c:v>668.4024193324384</c:v>
                </c:pt>
                <c:pt idx="154">
                  <c:v>671.11363885152809</c:v>
                </c:pt>
                <c:pt idx="155">
                  <c:v>673.83216053700721</c:v>
                </c:pt>
                <c:pt idx="156">
                  <c:v>676.55795320593597</c:v>
                </c:pt>
                <c:pt idx="157">
                  <c:v>679.29098566062976</c:v>
                </c:pt>
                <c:pt idx="158">
                  <c:v>682.03122668919934</c:v>
                </c:pt>
                <c:pt idx="159">
                  <c:v>684.77864506608853</c:v>
                </c:pt>
                <c:pt idx="160">
                  <c:v>687.53320955261029</c:v>
                </c:pt>
                <c:pt idx="161">
                  <c:v>690.29488889748052</c:v>
                </c:pt>
                <c:pt idx="162">
                  <c:v>693.06365183735011</c:v>
                </c:pt>
                <c:pt idx="163">
                  <c:v>695.83946709733482</c:v>
                </c:pt>
                <c:pt idx="164">
                  <c:v>698.62230339154303</c:v>
                </c:pt>
                <c:pt idx="165">
                  <c:v>701.41212942360141</c:v>
                </c:pt>
                <c:pt idx="166">
                  <c:v>704.20891388717848</c:v>
                </c:pt>
                <c:pt idx="167">
                  <c:v>707.01262546650628</c:v>
                </c:pt>
                <c:pt idx="168">
                  <c:v>709.82323283689971</c:v>
                </c:pt>
                <c:pt idx="169">
                  <c:v>712.64070466527335</c:v>
                </c:pt>
                <c:pt idx="170">
                  <c:v>715.46500961065692</c:v>
                </c:pt>
                <c:pt idx="171">
                  <c:v>718.29611632470767</c:v>
                </c:pt>
                <c:pt idx="172">
                  <c:v>721.13399345222103</c:v>
                </c:pt>
                <c:pt idx="173">
                  <c:v>723.97860963163907</c:v>
                </c:pt>
                <c:pt idx="174">
                  <c:v>726.82993349555636</c:v>
                </c:pt>
                <c:pt idx="175">
                  <c:v>729.68793367122373</c:v>
                </c:pt>
                <c:pt idx="176">
                  <c:v>732.55257878104987</c:v>
                </c:pt>
                <c:pt idx="177">
                  <c:v>735.4238374431003</c:v>
                </c:pt>
                <c:pt idx="178">
                  <c:v>738.30167827159426</c:v>
                </c:pt>
                <c:pt idx="179">
                  <c:v>741.18606987739929</c:v>
                </c:pt>
                <c:pt idx="180">
                  <c:v>744.07698086852326</c:v>
                </c:pt>
                <c:pt idx="181">
                  <c:v>746.9743798506039</c:v>
                </c:pt>
                <c:pt idx="182">
                  <c:v>749.87823542739625</c:v>
                </c:pt>
                <c:pt idx="183">
                  <c:v>752.78851620125783</c:v>
                </c:pt>
                <c:pt idx="184">
                  <c:v>755.70519077363053</c:v>
                </c:pt>
                <c:pt idx="185">
                  <c:v>758.62822774552126</c:v>
                </c:pt>
                <c:pt idx="186">
                  <c:v>761.55759571797921</c:v>
                </c:pt>
                <c:pt idx="187">
                  <c:v>764.49326329257087</c:v>
                </c:pt>
                <c:pt idx="188">
                  <c:v>767.43519907185282</c:v>
                </c:pt>
                <c:pt idx="189">
                  <c:v>770.38337165984194</c:v>
                </c:pt>
                <c:pt idx="190">
                  <c:v>773.33774966248268</c:v>
                </c:pt>
                <c:pt idx="191">
                  <c:v>776.29830168811247</c:v>
                </c:pt>
                <c:pt idx="192">
                  <c:v>779.26499634792401</c:v>
                </c:pt>
                <c:pt idx="193">
                  <c:v>782.23780225642543</c:v>
                </c:pt>
                <c:pt idx="194">
                  <c:v>785.21668803189777</c:v>
                </c:pt>
                <c:pt idx="195">
                  <c:v>788.20162229684945</c:v>
                </c:pt>
                <c:pt idx="196">
                  <c:v>791.19257367846899</c:v>
                </c:pt>
                <c:pt idx="197">
                  <c:v>794.18951080907448</c:v>
                </c:pt>
                <c:pt idx="198">
                  <c:v>797.19240232656045</c:v>
                </c:pt>
                <c:pt idx="199">
                  <c:v>800.20121687484243</c:v>
                </c:pt>
                <c:pt idx="200">
                  <c:v>803.21592310429901</c:v>
                </c:pt>
                <c:pt idx="201">
                  <c:v>806.2364896722105</c:v>
                </c:pt>
                <c:pt idx="202">
                  <c:v>809.2628852431958</c:v>
                </c:pt>
                <c:pt idx="203">
                  <c:v>812.29507848964613</c:v>
                </c:pt>
                <c:pt idx="204">
                  <c:v>815.33303809215613</c:v>
                </c:pt>
                <c:pt idx="205">
                  <c:v>818.37673273995244</c:v>
                </c:pt>
                <c:pt idx="206">
                  <c:v>821.42613113131938</c:v>
                </c:pt>
                <c:pt idx="207">
                  <c:v>824.48120197402227</c:v>
                </c:pt>
                <c:pt idx="208">
                  <c:v>827.54191398572743</c:v>
                </c:pt>
                <c:pt idx="209">
                  <c:v>830.60823589442043</c:v>
                </c:pt>
                <c:pt idx="210">
                  <c:v>833.68013643882045</c:v>
                </c:pt>
                <c:pt idx="211">
                  <c:v>836.75758436879289</c:v>
                </c:pt>
                <c:pt idx="212">
                  <c:v>839.84054844575871</c:v>
                </c:pt>
                <c:pt idx="213">
                  <c:v>842.92899744310125</c:v>
                </c:pt>
                <c:pt idx="214">
                  <c:v>846.02290014657012</c:v>
                </c:pt>
                <c:pt idx="215">
                  <c:v>849.12222535468266</c:v>
                </c:pt>
                <c:pt idx="216">
                  <c:v>852.22694187912214</c:v>
                </c:pt>
                <c:pt idx="217">
                  <c:v>855.33701854513367</c:v>
                </c:pt>
                <c:pt idx="218">
                  <c:v>858.45242419191709</c:v>
                </c:pt>
                <c:pt idx="219">
                  <c:v>861.57312767301687</c:v>
                </c:pt>
                <c:pt idx="220">
                  <c:v>864.69909785671007</c:v>
                </c:pt>
                <c:pt idx="221">
                  <c:v>867.83030362639033</c:v>
                </c:pt>
                <c:pt idx="222">
                  <c:v>870.9667138809499</c:v>
                </c:pt>
                <c:pt idx="223">
                  <c:v>874.10829753515861</c:v>
                </c:pt>
                <c:pt idx="224">
                  <c:v>877.25502352004025</c:v>
                </c:pt>
                <c:pt idx="225">
                  <c:v>880.40686078324552</c:v>
                </c:pt>
                <c:pt idx="226">
                  <c:v>883.563778289423</c:v>
                </c:pt>
                <c:pt idx="227">
                  <c:v>886.72574502058671</c:v>
                </c:pt>
                <c:pt idx="228">
                  <c:v>889.89272997648106</c:v>
                </c:pt>
                <c:pt idx="229">
                  <c:v>893.06470217494302</c:v>
                </c:pt>
                <c:pt idx="230">
                  <c:v>896.24163065226151</c:v>
                </c:pt>
                <c:pt idx="231">
                  <c:v>899.42348446353355</c:v>
                </c:pt>
                <c:pt idx="232">
                  <c:v>902.61023268301847</c:v>
                </c:pt>
                <c:pt idx="233">
                  <c:v>905.80184440448807</c:v>
                </c:pt>
                <c:pt idx="234">
                  <c:v>908.99828874157515</c:v>
                </c:pt>
                <c:pt idx="235">
                  <c:v>912.19953482811832</c:v>
                </c:pt>
                <c:pt idx="236">
                  <c:v>915.40555181850459</c:v>
                </c:pt>
                <c:pt idx="237">
                  <c:v>918.6163088880088</c:v>
                </c:pt>
                <c:pt idx="238">
                  <c:v>921.83177523313009</c:v>
                </c:pt>
                <c:pt idx="239">
                  <c:v>925.05192007192591</c:v>
                </c:pt>
                <c:pt idx="240">
                  <c:v>928.27671264434309</c:v>
                </c:pt>
                <c:pt idx="241">
                  <c:v>931.50612221254573</c:v>
                </c:pt>
                <c:pt idx="242">
                  <c:v>934.74011806124088</c:v>
                </c:pt>
                <c:pt idx="243">
                  <c:v>937.97866949800061</c:v>
                </c:pt>
                <c:pt idx="244">
                  <c:v>941.22174585358221</c:v>
                </c:pt>
                <c:pt idx="245">
                  <c:v>944.46931648224438</c:v>
                </c:pt>
                <c:pt idx="246">
                  <c:v>947.72135076206166</c:v>
                </c:pt>
                <c:pt idx="247">
                  <c:v>950.97781809523565</c:v>
                </c:pt>
                <c:pt idx="248">
                  <c:v>954.23868790840299</c:v>
                </c:pt>
                <c:pt idx="249">
                  <c:v>957.50392965294111</c:v>
                </c:pt>
                <c:pt idx="250">
                  <c:v>960.7735128052708</c:v>
                </c:pt>
                <c:pt idx="251">
                  <c:v>964.04740439173315</c:v>
                </c:pt>
                <c:pt idx="252">
                  <c:v>967.32556651479206</c:v>
                </c:pt>
                <c:pt idx="253">
                  <c:v>970.60795883360367</c:v>
                </c:pt>
                <c:pt idx="254">
                  <c:v>973.89454104332742</c:v>
                </c:pt>
                <c:pt idx="255">
                  <c:v>977.18527287556026</c:v>
                </c:pt>
                <c:pt idx="256">
                  <c:v>980.48011409876642</c:v>
                </c:pt>
                <c:pt idx="257">
                  <c:v>983.77902451870193</c:v>
                </c:pt>
                <c:pt idx="258">
                  <c:v>987.08196397883557</c:v>
                </c:pt>
                <c:pt idx="259">
                  <c:v>990.38889236076398</c:v>
                </c:pt>
                <c:pt idx="260">
                  <c:v>993.69976958462325</c:v>
                </c:pt>
                <c:pt idx="261">
                  <c:v>997.01455560949512</c:v>
                </c:pt>
                <c:pt idx="262">
                  <c:v>1000.3332104338092</c:v>
                </c:pt>
                <c:pt idx="263">
                  <c:v>1003.65569409574</c:v>
                </c:pt>
                <c:pt idx="264">
                  <c:v>1006.9819666735999</c:v>
                </c:pt>
                <c:pt idx="265">
                  <c:v>1010.3119882862272</c:v>
                </c:pt>
                <c:pt idx="266">
                  <c:v>1013.64571909337</c:v>
                </c:pt>
                <c:pt idx="267">
                  <c:v>1016.9831192960646</c:v>
                </c:pt>
                <c:pt idx="268">
                  <c:v>1020.3241491370112</c:v>
                </c:pt>
                <c:pt idx="269">
                  <c:v>1023.6687689009427</c:v>
                </c:pt>
                <c:pt idx="270">
                  <c:v>1027.0169389149908</c:v>
                </c:pt>
                <c:pt idx="271">
                  <c:v>1030.368619549047</c:v>
                </c:pt>
                <c:pt idx="272">
                  <c:v>1033.7237712161188</c:v>
                </c:pt>
                <c:pt idx="273">
                  <c:v>1037.0823543726817</c:v>
                </c:pt>
                <c:pt idx="274">
                  <c:v>1040.444329519027</c:v>
                </c:pt>
                <c:pt idx="275">
                  <c:v>1043.8096571996043</c:v>
                </c:pt>
                <c:pt idx="276">
                  <c:v>1047.1782980033609</c:v>
                </c:pt>
                <c:pt idx="277">
                  <c:v>1050.5502125640749</c:v>
                </c:pt>
                <c:pt idx="278">
                  <c:v>1053.9253615606854</c:v>
                </c:pt>
                <c:pt idx="279">
                  <c:v>1057.3037057176182</c:v>
                </c:pt>
                <c:pt idx="280">
                  <c:v>1060.6852058051059</c:v>
                </c:pt>
                <c:pt idx="281">
                  <c:v>1064.0698226395048</c:v>
                </c:pt>
                <c:pt idx="282">
                  <c:v>1067.4575170836067</c:v>
                </c:pt>
                <c:pt idx="283">
                  <c:v>1070.8482500469474</c:v>
                </c:pt>
                <c:pt idx="284">
                  <c:v>1074.2419824861092</c:v>
                </c:pt>
                <c:pt idx="285">
                  <c:v>1077.6386754050204</c:v>
                </c:pt>
                <c:pt idx="286">
                  <c:v>1081.0382898552498</c:v>
                </c:pt>
                <c:pt idx="287">
                  <c:v>1084.4407869362974</c:v>
                </c:pt>
                <c:pt idx="288">
                  <c:v>1087.8461277958804</c:v>
                </c:pt>
                <c:pt idx="289">
                  <c:v>1091.254273630215</c:v>
                </c:pt>
                <c:pt idx="290">
                  <c:v>1094.6651856842939</c:v>
                </c:pt>
                <c:pt idx="291">
                  <c:v>1098.0788252521597</c:v>
                </c:pt>
                <c:pt idx="292">
                  <c:v>1101.4951536771746</c:v>
                </c:pt>
                <c:pt idx="293">
                  <c:v>1104.9141323522845</c:v>
                </c:pt>
                <c:pt idx="294">
                  <c:v>1108.3357227202798</c:v>
                </c:pt>
                <c:pt idx="295">
                  <c:v>1111.7598862740524</c:v>
                </c:pt>
                <c:pt idx="296">
                  <c:v>1115.1865845568475</c:v>
                </c:pt>
                <c:pt idx="297">
                  <c:v>1118.6157791625126</c:v>
                </c:pt>
                <c:pt idx="298">
                  <c:v>1122.0474044417065</c:v>
                </c:pt>
                <c:pt idx="299">
                  <c:v>1125.4813402352108</c:v>
                </c:pt>
                <c:pt idx="300">
                  <c:v>1128.9174392426266</c:v>
                </c:pt>
                <c:pt idx="301">
                  <c:v>1132.3555543654779</c:v>
                </c:pt>
                <c:pt idx="302">
                  <c:v>1135.7955387104471</c:v>
                </c:pt>
                <c:pt idx="303">
                  <c:v>1139.237245592554</c:v>
                </c:pt>
                <c:pt idx="304">
                  <c:v>1142.6805285382816</c:v>
                </c:pt>
                <c:pt idx="305">
                  <c:v>1146.1252412886458</c:v>
                </c:pt>
                <c:pt idx="306">
                  <c:v>1149.5712378022113</c:v>
                </c:pt>
                <c:pt idx="307">
                  <c:v>1153.0183722580523</c:v>
                </c:pt>
                <c:pt idx="308">
                  <c:v>1156.4664990586598</c:v>
                </c:pt>
                <c:pt idx="309">
                  <c:v>1159.9154728327935</c:v>
                </c:pt>
                <c:pt idx="310">
                  <c:v>1163.3651484382806</c:v>
                </c:pt>
                <c:pt idx="311">
                  <c:v>1166.8153809647604</c:v>
                </c:pt>
                <c:pt idx="312">
                  <c:v>1170.2660257363748</c:v>
                </c:pt>
                <c:pt idx="313">
                  <c:v>1173.716938314406</c:v>
                </c:pt>
                <c:pt idx="314">
                  <c:v>1177.1679744998605</c:v>
                </c:pt>
                <c:pt idx="315">
                  <c:v>1180.6189903359998</c:v>
                </c:pt>
                <c:pt idx="316">
                  <c:v>1184.0698421108184</c:v>
                </c:pt>
                <c:pt idx="317">
                  <c:v>1187.5203863594695</c:v>
                </c:pt>
                <c:pt idx="318">
                  <c:v>1190.9704798666369</c:v>
                </c:pt>
                <c:pt idx="319">
                  <c:v>1194.4199796688565</c:v>
                </c:pt>
                <c:pt idx="320">
                  <c:v>1197.8687430567843</c:v>
                </c:pt>
                <c:pt idx="321">
                  <c:v>1201.3166384471067</c:v>
                </c:pt>
                <c:pt idx="322">
                  <c:v>1204.7635562360797</c:v>
                </c:pt>
                <c:pt idx="323">
                  <c:v>1208.2093978909531</c:v>
                </c:pt>
                <c:pt idx="324">
                  <c:v>1211.6540650590343</c:v>
                </c:pt>
                <c:pt idx="325">
                  <c:v>1215.0974595684579</c:v>
                </c:pt>
                <c:pt idx="326">
                  <c:v>1218.5394834289316</c:v>
                </c:pt>
                <c:pt idx="327">
                  <c:v>1221.9800388324593</c:v>
                </c:pt>
                <c:pt idx="328">
                  <c:v>1225.4190281540411</c:v>
                </c:pt>
                <c:pt idx="329">
                  <c:v>1228.8563539523498</c:v>
                </c:pt>
                <c:pt idx="330">
                  <c:v>1232.2919189703846</c:v>
                </c:pt>
                <c:pt idx="331">
                  <c:v>1235.7256261361033</c:v>
                </c:pt>
                <c:pt idx="332">
                  <c:v>1239.1573785630305</c:v>
                </c:pt>
                <c:pt idx="333">
                  <c:v>1242.5870795508445</c:v>
                </c:pt>
                <c:pt idx="334">
                  <c:v>1246.0146325859416</c:v>
                </c:pt>
                <c:pt idx="335">
                  <c:v>1249.4399413419792</c:v>
                </c:pt>
                <c:pt idx="336">
                  <c:v>1252.8629096803959</c:v>
                </c:pt>
                <c:pt idx="337">
                  <c:v>1256.2834416509113</c:v>
                </c:pt>
                <c:pt idx="338">
                  <c:v>1259.7014414920034</c:v>
                </c:pt>
                <c:pt idx="339">
                  <c:v>1263.1168136313652</c:v>
                </c:pt>
                <c:pt idx="340">
                  <c:v>1266.5294626863401</c:v>
                </c:pt>
                <c:pt idx="341">
                  <c:v>1269.9392934643367</c:v>
                </c:pt>
                <c:pt idx="342">
                  <c:v>1273.3462109632226</c:v>
                </c:pt>
                <c:pt idx="343">
                  <c:v>1276.7501203716972</c:v>
                </c:pt>
                <c:pt idx="344">
                  <c:v>1280.1509270696451</c:v>
                </c:pt>
                <c:pt idx="345">
                  <c:v>1283.548536628469</c:v>
                </c:pt>
                <c:pt idx="346">
                  <c:v>1286.942854811402</c:v>
                </c:pt>
                <c:pt idx="347">
                  <c:v>1290.3337875738002</c:v>
                </c:pt>
                <c:pt idx="348">
                  <c:v>1293.721242236345</c:v>
                </c:pt>
                <c:pt idx="349">
                  <c:v>1297.1051286556749</c:v>
                </c:pt>
                <c:pt idx="350">
                  <c:v>1300.4853580464701</c:v>
                </c:pt>
                <c:pt idx="351">
                  <c:v>1303.8618418060305</c:v>
                </c:pt>
                <c:pt idx="352">
                  <c:v>1307.2344915144035</c:v>
                </c:pt>
                <c:pt idx="353">
                  <c:v>1310.603218934496</c:v>
                </c:pt>
                <c:pt idx="354">
                  <c:v>1313.9679360121679</c:v>
                </c:pt>
                <c:pt idx="355">
                  <c:v>1317.3285548763117</c:v>
                </c:pt>
                <c:pt idx="356">
                  <c:v>1320.6849878389141</c:v>
                </c:pt>
                <c:pt idx="357">
                  <c:v>1324.0371473951029</c:v>
                </c:pt>
                <c:pt idx="358">
                  <c:v>1327.3849462231772</c:v>
                </c:pt>
                <c:pt idx="359">
                  <c:v>1330.7282971846223</c:v>
                </c:pt>
                <c:pt idx="360">
                  <c:v>1334.0671377168794</c:v>
                </c:pt>
                <c:pt idx="361">
                  <c:v>1337.4014541689724</c:v>
                </c:pt>
                <c:pt idx="362">
                  <c:v>1340.7312572950639</c:v>
                </c:pt>
                <c:pt idx="363">
                  <c:v>1344.0565578052745</c:v>
                </c:pt>
                <c:pt idx="364">
                  <c:v>1347.3773663659235</c:v>
                </c:pt>
                <c:pt idx="365">
                  <c:v>1350.693693599771</c:v>
                </c:pt>
                <c:pt idx="366">
                  <c:v>1354.0055500862552</c:v>
                </c:pt>
                <c:pt idx="367">
                  <c:v>1357.3129463617308</c:v>
                </c:pt>
                <c:pt idx="368">
                  <c:v>1360.6158929197045</c:v>
                </c:pt>
                <c:pt idx="369">
                  <c:v>1363.9144002110684</c:v>
                </c:pt>
                <c:pt idx="370">
                  <c:v>1367.2084786443331</c:v>
                </c:pt>
                <c:pt idx="371">
                  <c:v>1370.4981385858584</c:v>
                </c:pt>
                <c:pt idx="372">
                  <c:v>1373.7833903600817</c:v>
                </c:pt>
                <c:pt idx="373">
                  <c:v>1377.0642442497469</c:v>
                </c:pt>
                <c:pt idx="374">
                  <c:v>1380.3407104961293</c:v>
                </c:pt>
                <c:pt idx="375">
                  <c:v>1383.612799299261</c:v>
                </c:pt>
                <c:pt idx="376">
                  <c:v>1386.8805208181534</c:v>
                </c:pt>
                <c:pt idx="377">
                  <c:v>1390.1438851710191</c:v>
                </c:pt>
                <c:pt idx="378">
                  <c:v>1393.4029024354913</c:v>
                </c:pt>
                <c:pt idx="379">
                  <c:v>1396.6575826488429</c:v>
                </c:pt>
                <c:pt idx="380">
                  <c:v>1399.9079358082033</c:v>
                </c:pt>
                <c:pt idx="381">
                  <c:v>1403.1539718707736</c:v>
                </c:pt>
                <c:pt idx="382">
                  <c:v>1406.3957007540409</c:v>
                </c:pt>
                <c:pt idx="383">
                  <c:v>1409.6331323359914</c:v>
                </c:pt>
                <c:pt idx="384">
                  <c:v>1412.8662764553208</c:v>
                </c:pt>
                <c:pt idx="385">
                  <c:v>1416.0951429116442</c:v>
                </c:pt>
                <c:pt idx="386">
                  <c:v>1419.3197414657052</c:v>
                </c:pt>
                <c:pt idx="387">
                  <c:v>1422.5400818395822</c:v>
                </c:pt>
                <c:pt idx="388">
                  <c:v>1425.7561737168937</c:v>
                </c:pt>
                <c:pt idx="389">
                  <c:v>1428.9680267430035</c:v>
                </c:pt>
                <c:pt idx="390">
                  <c:v>1432.1756505252224</c:v>
                </c:pt>
                <c:pt idx="391">
                  <c:v>1435.3790546330106</c:v>
                </c:pt>
                <c:pt idx="392">
                  <c:v>1438.578248598177</c:v>
                </c:pt>
                <c:pt idx="393">
                  <c:v>1441.7732419150786</c:v>
                </c:pt>
                <c:pt idx="394">
                  <c:v>1444.9640440408177</c:v>
                </c:pt>
                <c:pt idx="395">
                  <c:v>1448.1506643954383</c:v>
                </c:pt>
                <c:pt idx="396">
                  <c:v>1451.3331123621206</c:v>
                </c:pt>
                <c:pt idx="397">
                  <c:v>1454.5113972873746</c:v>
                </c:pt>
                <c:pt idx="398">
                  <c:v>1457.6855284812327</c:v>
                </c:pt>
                <c:pt idx="399">
                  <c:v>1460.8555152174406</c:v>
                </c:pt>
                <c:pt idx="400">
                  <c:v>1464.0213667336468</c:v>
                </c:pt>
                <c:pt idx="401">
                  <c:v>1495.45315752755</c:v>
                </c:pt>
                <c:pt idx="402">
                  <c:v>1526.4773408599779</c:v>
                </c:pt>
                <c:pt idx="403">
                  <c:v>1557.1028143335948</c:v>
                </c:pt>
                <c:pt idx="404">
                  <c:v>1587.3381388050127</c:v>
                </c:pt>
                <c:pt idx="405">
                  <c:v>1617.1915553144117</c:v>
                </c:pt>
                <c:pt idx="406">
                  <c:v>1646.6710009525584</c:v>
                </c:pt>
                <c:pt idx="407">
                  <c:v>1675.7841237447863</c:v>
                </c:pt>
                <c:pt idx="408">
                  <c:v>1704.5382966246084</c:v>
                </c:pt>
                <c:pt idx="409">
                  <c:v>1732.9406305634075</c:v>
                </c:pt>
                <c:pt idx="410">
                  <c:v>1760.9979869170302</c:v>
                </c:pt>
                <c:pt idx="411">
                  <c:v>1788.7169890450368</c:v>
                </c:pt>
                <c:pt idx="412">
                  <c:v>1816.1040332537536</c:v>
                </c:pt>
                <c:pt idx="413">
                  <c:v>1843.1652991101125</c:v>
                </c:pt>
                <c:pt idx="414">
                  <c:v>1869.9067591694729</c:v>
                </c:pt>
                <c:pt idx="415">
                  <c:v>1896.334188157188</c:v>
                </c:pt>
                <c:pt idx="416">
                  <c:v>1922.4531716405481</c:v>
                </c:pt>
                <c:pt idx="417">
                  <c:v>1948.269114224885</c:v>
                </c:pt>
                <c:pt idx="418">
                  <c:v>1973.7872473050249</c:v>
                </c:pt>
                <c:pt idx="419">
                  <c:v>1999.0126364009052</c:v>
                </c:pt>
                <c:pt idx="420">
                  <c:v>2023.9501881040073</c:v>
                </c:pt>
                <c:pt idx="421">
                  <c:v>2048.604656659274</c:v>
                </c:pt>
                <c:pt idx="422">
                  <c:v>2072.9806502053639</c:v>
                </c:pt>
                <c:pt idx="423">
                  <c:v>2097.0826366944393</c:v>
                </c:pt>
                <c:pt idx="424">
                  <c:v>2120.9149495111496</c:v>
                </c:pt>
                <c:pt idx="425">
                  <c:v>2144.4817928090802</c:v>
                </c:pt>
                <c:pt idx="426">
                  <c:v>2167.7872465816413</c:v>
                </c:pt>
                <c:pt idx="427">
                  <c:v>2190.8352714831963</c:v>
                </c:pt>
                <c:pt idx="428">
                  <c:v>2213.6297134151255</c:v>
                </c:pt>
                <c:pt idx="429">
                  <c:v>2236.1743078905306</c:v>
                </c:pt>
                <c:pt idx="430">
                  <c:v>2258.4726841903484</c:v>
                </c:pt>
                <c:pt idx="431">
                  <c:v>2280.5283693227893</c:v>
                </c:pt>
                <c:pt idx="432">
                  <c:v>2302.3447917972248</c:v>
                </c:pt>
                <c:pt idx="433">
                  <c:v>2323.9252852229206</c:v>
                </c:pt>
                <c:pt idx="434">
                  <c:v>2345.2730917423305</c:v>
                </c:pt>
                <c:pt idx="435">
                  <c:v>2366.3913653080454</c:v>
                </c:pt>
                <c:pt idx="436">
                  <c:v>2387.2831748119015</c:v>
                </c:pt>
                <c:pt idx="437">
                  <c:v>2407.9515070742295</c:v>
                </c:pt>
                <c:pt idx="438">
                  <c:v>2428.3992697007084</c:v>
                </c:pt>
                <c:pt idx="439">
                  <c:v>2448.6292938138395</c:v>
                </c:pt>
                <c:pt idx="440">
                  <c:v>2468.6443366656113</c:v>
                </c:pt>
                <c:pt idx="441">
                  <c:v>2488.4470841375382</c:v>
                </c:pt>
                <c:pt idx="442">
                  <c:v>2508.0401531338707</c:v>
                </c:pt>
                <c:pt idx="443">
                  <c:v>2527.4260938734333</c:v>
                </c:pt>
                <c:pt idx="444">
                  <c:v>2546.6073920852223</c:v>
                </c:pt>
                <c:pt idx="445">
                  <c:v>2565.5864711125937</c:v>
                </c:pt>
                <c:pt idx="446">
                  <c:v>2584.3656939305843</c:v>
                </c:pt>
                <c:pt idx="447">
                  <c:v>2602.9473650806526</c:v>
                </c:pt>
                <c:pt idx="448">
                  <c:v>2621.3337325268794</c:v>
                </c:pt>
                <c:pt idx="449">
                  <c:v>2639.5269894374314</c:v>
                </c:pt>
                <c:pt idx="450">
                  <c:v>2657.5292758948881</c:v>
                </c:pt>
                <c:pt idx="451">
                  <c:v>2675.3426805388153</c:v>
                </c:pt>
                <c:pt idx="452">
                  <c:v>2692.9692421438008</c:v>
                </c:pt>
                <c:pt idx="453">
                  <c:v>2710.4109511359666</c:v>
                </c:pt>
                <c:pt idx="454">
                  <c:v>2727.6697510508325</c:v>
                </c:pt>
                <c:pt idx="455">
                  <c:v>2744.7475399352288</c:v>
                </c:pt>
                <c:pt idx="456">
                  <c:v>2761.6461716958238</c:v>
                </c:pt>
                <c:pt idx="457">
                  <c:v>2778.3674573966905</c:v>
                </c:pt>
                <c:pt idx="458">
                  <c:v>2794.9131665082105</c:v>
                </c:pt>
                <c:pt idx="459">
                  <c:v>2811.2850281094861</c:v>
                </c:pt>
                <c:pt idx="460">
                  <c:v>2827.4847320463305</c:v>
                </c:pt>
                <c:pt idx="461">
                  <c:v>2843.5139300467845</c:v>
                </c:pt>
                <c:pt idx="462">
                  <c:v>2859.3742367960222</c:v>
                </c:pt>
                <c:pt idx="463">
                  <c:v>2875.0672309723996</c:v>
                </c:pt>
                <c:pt idx="464">
                  <c:v>2890.5944562463246</c:v>
                </c:pt>
                <c:pt idx="465">
                  <c:v>2905.9574222435322</c:v>
                </c:pt>
                <c:pt idx="466">
                  <c:v>2921.1576054742732</c:v>
                </c:pt>
                <c:pt idx="467">
                  <c:v>2936.1964502298565</c:v>
                </c:pt>
                <c:pt idx="468">
                  <c:v>2951.0753694479004</c:v>
                </c:pt>
                <c:pt idx="469">
                  <c:v>2965.7957455475948</c:v>
                </c:pt>
                <c:pt idx="470">
                  <c:v>2980.3589312362119</c:v>
                </c:pt>
                <c:pt idx="471">
                  <c:v>2994.7662502880307</c:v>
                </c:pt>
                <c:pt idx="472">
                  <c:v>3009.0189982968063</c:v>
                </c:pt>
                <c:pt idx="473">
                  <c:v>3023.1184434028391</c:v>
                </c:pt>
                <c:pt idx="474">
                  <c:v>3037.0658269956675</c:v>
                </c:pt>
                <c:pt idx="475">
                  <c:v>3050.8623643933479</c:v>
                </c:pt>
                <c:pt idx="476">
                  <c:v>3064.5092454992459</c:v>
                </c:pt>
                <c:pt idx="477">
                  <c:v>3078.0076354372222</c:v>
                </c:pt>
                <c:pt idx="478">
                  <c:v>3091.3586751660482</c:v>
                </c:pt>
                <c:pt idx="479">
                  <c:v>3104.5634820738587</c:v>
                </c:pt>
                <c:pt idx="480">
                  <c:v>3117.6231505534038</c:v>
                </c:pt>
                <c:pt idx="481">
                  <c:v>3130.5387525588335</c:v>
                </c:pt>
                <c:pt idx="482">
                  <c:v>3143.3113381447124</c:v>
                </c:pt>
                <c:pt idx="483">
                  <c:v>3155.9419359879312</c:v>
                </c:pt>
                <c:pt idx="484">
                  <c:v>3168.4315538931578</c:v>
                </c:pt>
                <c:pt idx="485">
                  <c:v>3180.7811792824318</c:v>
                </c:pt>
                <c:pt idx="486">
                  <c:v>3192.9917796694922</c:v>
                </c:pt>
                <c:pt idx="487">
                  <c:v>3205.0643031193918</c:v>
                </c:pt>
                <c:pt idx="488">
                  <c:v>3216.9996786939378</c:v>
                </c:pt>
                <c:pt idx="489">
                  <c:v>3228.7988168834659</c:v>
                </c:pt>
                <c:pt idx="490">
                  <c:v>3240.46261002544</c:v>
                </c:pt>
                <c:pt idx="491">
                  <c:v>3251.9919327103476</c:v>
                </c:pt>
                <c:pt idx="492">
                  <c:v>3263.3876421753375</c:v>
                </c:pt>
                <c:pt idx="493">
                  <c:v>3274.6505786860353</c:v>
                </c:pt>
                <c:pt idx="494">
                  <c:v>3285.7815659069456</c:v>
                </c:pt>
                <c:pt idx="495">
                  <c:v>3296.7814112608394</c:v>
                </c:pt>
                <c:pt idx="496">
                  <c:v>3307.6509062775044</c:v>
                </c:pt>
                <c:pt idx="497">
                  <c:v>3318.3908269322264</c:v>
                </c:pt>
                <c:pt idx="498">
                  <c:v>3329.001933974348</c:v>
                </c:pt>
                <c:pt idx="499">
                  <c:v>3339.4849732462412</c:v>
                </c:pt>
                <c:pt idx="500">
                  <c:v>3349.8406759930162</c:v>
                </c:pt>
                <c:pt idx="501">
                  <c:v>3360.0697591632779</c:v>
                </c:pt>
                <c:pt idx="502">
                  <c:v>3370.1729257012239</c:v>
                </c:pt>
                <c:pt idx="503">
                  <c:v>3380.150864830372</c:v>
                </c:pt>
                <c:pt idx="504">
                  <c:v>3390.0042523291913</c:v>
                </c:pt>
                <c:pt idx="505">
                  <c:v>3399.7337507988991</c:v>
                </c:pt>
                <c:pt idx="506">
                  <c:v>3409.3400099236815</c:v>
                </c:pt>
                <c:pt idx="507">
                  <c:v>3418.8236667235751</c:v>
                </c:pt>
                <c:pt idx="508">
                  <c:v>3428.185345800252</c:v>
                </c:pt>
                <c:pt idx="509">
                  <c:v>3437.4256595759284</c:v>
                </c:pt>
                <c:pt idx="510">
                  <c:v>3446.545208525617</c:v>
                </c:pt>
                <c:pt idx="511">
                  <c:v>3455.5445814029304</c:v>
                </c:pt>
                <c:pt idx="512">
                  <c:v>3464.4243554596401</c:v>
                </c:pt>
                <c:pt idx="513">
                  <c:v>3473.1850966591815</c:v>
                </c:pt>
                <c:pt idx="514">
                  <c:v>3481.8273598842966</c:v>
                </c:pt>
                <c:pt idx="515">
                  <c:v>3490.35168913899</c:v>
                </c:pt>
                <c:pt idx="516">
                  <c:v>3498.7586177449753</c:v>
                </c:pt>
                <c:pt idx="517">
                  <c:v>3507.0486685327783</c:v>
                </c:pt>
                <c:pt idx="518">
                  <c:v>3515.2223540276586</c:v>
                </c:pt>
                <c:pt idx="519">
                  <c:v>3523.2801766305083</c:v>
                </c:pt>
                <c:pt idx="520">
                  <c:v>3531.2226287938724</c:v>
                </c:pt>
                <c:pt idx="521">
                  <c:v>3539.0501931932458</c:v>
                </c:pt>
                <c:pt idx="522">
                  <c:v>3546.7633428937779</c:v>
                </c:pt>
                <c:pt idx="523">
                  <c:v>3554.362541512528</c:v>
                </c:pt>
                <c:pt idx="524">
                  <c:v>3561.8482433763988</c:v>
                </c:pt>
                <c:pt idx="525">
                  <c:v>3569.2208936758784</c:v>
                </c:pt>
                <c:pt idx="526">
                  <c:v>3576.480928614712</c:v>
                </c:pt>
                <c:pt idx="527">
                  <c:v>3583.6287755556227</c:v>
                </c:pt>
                <c:pt idx="528">
                  <c:v>3590.6648531621991</c:v>
                </c:pt>
                <c:pt idx="529">
                  <c:v>3597.5895715370593</c:v>
                </c:pt>
                <c:pt idx="530">
                  <c:v>3604.4033323564036</c:v>
                </c:pt>
                <c:pt idx="531">
                  <c:v>3611.1065290010588</c:v>
                </c:pt>
                <c:pt idx="532">
                  <c:v>3617.6995466841204</c:v>
                </c:pt>
                <c:pt idx="533">
                  <c:v>3624.1827625752908</c:v>
                </c:pt>
                <c:pt idx="534">
                  <c:v>3630.556545922012</c:v>
                </c:pt>
                <c:pt idx="535">
                  <c:v>3636.8212581674893</c:v>
                </c:pt>
                <c:pt idx="536">
                  <c:v>3642.9772530657006</c:v>
                </c:pt>
                <c:pt idx="537">
                  <c:v>3649.0248767934795</c:v>
                </c:pt>
                <c:pt idx="538">
                  <c:v>3654.9644680597667</c:v>
                </c:pt>
                <c:pt idx="539">
                  <c:v>3660.7963582121151</c:v>
                </c:pt>
                <c:pt idx="540">
                  <c:v>3666.5208713405377</c:v>
                </c:pt>
                <c:pt idx="541">
                  <c:v>3672.1383243787832</c:v>
                </c:pt>
                <c:pt idx="542">
                  <c:v>3677.6490272031265</c:v>
                </c:pt>
                <c:pt idx="543">
                  <c:v>3683.0532827287584</c:v>
                </c:pt>
                <c:pt idx="544">
                  <c:v>3688.3513870038605</c:v>
                </c:pt>
                <c:pt idx="545">
                  <c:v>3693.5436293014454</c:v>
                </c:pt>
                <c:pt idx="546">
                  <c:v>3698.6302922090554</c:v>
                </c:pt>
                <c:pt idx="547">
                  <c:v>3703.6116517163987</c:v>
                </c:pt>
                <c:pt idx="548">
                  <c:v>3708.4879773010152</c:v>
                </c:pt>
                <c:pt idx="549">
                  <c:v>3713.2595320120549</c:v>
                </c:pt>
                <c:pt idx="550">
                  <c:v>3717.9265725522664</c:v>
                </c:pt>
                <c:pt idx="551">
                  <c:v>3722.4893493582827</c:v>
                </c:pt>
                <c:pt idx="552">
                  <c:v>3726.9481066793032</c:v>
                </c:pt>
                <c:pt idx="553">
                  <c:v>3731.3030826542708</c:v>
                </c:pt>
                <c:pt idx="554">
                  <c:v>3735.5545093876462</c:v>
                </c:pt>
                <c:pt idx="555">
                  <c:v>3739.7026130238905</c:v>
                </c:pt>
                <c:pt idx="556">
                  <c:v>3743.7476138207703</c:v>
                </c:pt>
                <c:pt idx="557">
                  <c:v>3747.6897262216025</c:v>
                </c:pt>
                <c:pt idx="558">
                  <c:v>3751.5291589265721</c:v>
                </c:pt>
                <c:pt idx="559">
                  <c:v>3755.2661149632563</c:v>
                </c:pt>
                <c:pt idx="560">
                  <c:v>3758.9007917565023</c:v>
                </c:pt>
                <c:pt idx="561">
                  <c:v>3762.433381197819</c:v>
                </c:pt>
                <c:pt idx="562">
                  <c:v>3765.8640697144488</c:v>
                </c:pt>
                <c:pt idx="563">
                  <c:v>3769.1930383383046</c:v>
                </c:pt>
                <c:pt idx="564">
                  <c:v>3772.4204627749741</c:v>
                </c:pt>
                <c:pt idx="565">
                  <c:v>3775.5465134730043</c:v>
                </c:pt>
                <c:pt idx="566">
                  <c:v>3778.5713556937039</c:v>
                </c:pt>
                <c:pt idx="567">
                  <c:v>3781.4951495817204</c:v>
                </c:pt>
                <c:pt idx="568">
                  <c:v>3784.3180502366736</c:v>
                </c:pt>
                <c:pt idx="569">
                  <c:v>3787.0402077861486</c:v>
                </c:pt>
                <c:pt idx="570">
                  <c:v>3789.661767460384</c:v>
                </c:pt>
                <c:pt idx="571">
                  <c:v>3792.1828696690177</c:v>
                </c:pt>
                <c:pt idx="572">
                  <c:v>3794.6036500802848</c:v>
                </c:pt>
                <c:pt idx="573">
                  <c:v>3796.9242397030962</c:v>
                </c:pt>
                <c:pt idx="574">
                  <c:v>3799.1447649724632</c:v>
                </c:pt>
                <c:pt idx="575">
                  <c:v>3801.2653478387629</c:v>
                </c:pt>
                <c:pt idx="576">
                  <c:v>3803.2861058613817</c:v>
                </c:pt>
                <c:pt idx="577">
                  <c:v>3805.2071523073091</c:v>
                </c:pt>
                <c:pt idx="578">
                  <c:v>3807.0285962552775</c:v>
                </c:pt>
                <c:pt idx="579">
                  <c:v>3808.7505427060837</c:v>
                </c:pt>
                <c:pt idx="580">
                  <c:v>3810.3730926997437</c:v>
                </c:pt>
                <c:pt idx="581">
                  <c:v>3811.8963434401458</c:v>
                </c:pt>
                <c:pt idx="582">
                  <c:v>3813.3203884278728</c:v>
                </c:pt>
                <c:pt idx="583">
                  <c:v>3814.6453176018513</c:v>
                </c:pt>
                <c:pt idx="584">
                  <c:v>3815.8712174904558</c:v>
                </c:pt>
                <c:pt idx="585">
                  <c:v>3816.9981713726424</c:v>
                </c:pt>
                <c:pt idx="586">
                  <c:v>3818.026259449618</c:v>
                </c:pt>
                <c:pt idx="587">
                  <c:v>3818.9555590274394</c:v>
                </c:pt>
                <c:pt idx="588">
                  <c:v>3819.7861447108121</c:v>
                </c:pt>
                <c:pt idx="589">
                  <c:v>3820.5180886081921</c:v>
                </c:pt>
                <c:pt idx="590">
                  <c:v>3821.1514605481052</c:v>
                </c:pt>
                <c:pt idx="591">
                  <c:v>3821.6863283063781</c:v>
                </c:pt>
                <c:pt idx="592">
                  <c:v>3822.1227578437379</c:v>
                </c:pt>
                <c:pt idx="593">
                  <c:v>3822.4608135529875</c:v>
                </c:pt>
                <c:pt idx="594">
                  <c:v>3822.7005585147017</c:v>
                </c:pt>
                <c:pt idx="595">
                  <c:v>3822.8420547601486</c:v>
                </c:pt>
                <c:pt idx="596">
                  <c:v>3822.885363539905</c:v>
                </c:pt>
                <c:pt idx="597">
                  <c:v>3822.8305455964492</c:v>
                </c:pt>
                <c:pt idx="598">
                  <c:v>3822.6776614388555</c:v>
                </c:pt>
                <c:pt idx="599">
                  <c:v>3822.4267716176273</c:v>
                </c:pt>
                <c:pt idx="600">
                  <c:v>3822.0779369976667</c:v>
                </c:pt>
                <c:pt idx="601">
                  <c:v>3821.6312190274039</c:v>
                </c:pt>
                <c:pt idx="602">
                  <c:v>3821.0866800022063</c:v>
                </c:pt>
                <c:pt idx="603">
                  <c:v>3820.4443833203213</c:v>
                </c:pt>
                <c:pt idx="604">
                  <c:v>3819.7043937298045</c:v>
                </c:pt>
                <c:pt idx="605">
                  <c:v>3818.8667775651056</c:v>
                </c:pt>
                <c:pt idx="606">
                  <c:v>3817.9316029722368</c:v>
                </c:pt>
                <c:pt idx="607">
                  <c:v>3816.8989401216963</c:v>
                </c:pt>
                <c:pt idx="608">
                  <c:v>3815.7688614085823</c:v>
                </c:pt>
                <c:pt idx="609">
                  <c:v>3814.5414416395711</c:v>
                </c:pt>
                <c:pt idx="610">
                  <c:v>3813.21675820665</c:v>
                </c:pt>
                <c:pt idx="611">
                  <c:v>3811.7948912477009</c:v>
                </c:pt>
                <c:pt idx="612">
                  <c:v>3810.2759237941832</c:v>
                </c:pt>
                <c:pt idx="613">
                  <c:v>3808.65994190631</c:v>
                </c:pt>
                <c:pt idx="614">
                  <c:v>3806.9470347962115</c:v>
                </c:pt>
                <c:pt idx="615">
                  <c:v>3805.13729493966</c:v>
                </c:pt>
                <c:pt idx="616">
                  <c:v>3803.2308181769818</c:v>
                </c:pt>
                <c:pt idx="617">
                  <c:v>3801.2277038038083</c:v>
                </c:pt>
                <c:pt idx="618">
                  <c:v>3799.1280546523394</c:v>
                </c:pt>
                <c:pt idx="619">
                  <c:v>3796.9319771637806</c:v>
                </c:pt>
                <c:pt idx="620">
                  <c:v>3794.639581452604</c:v>
                </c:pt>
                <c:pt idx="621">
                  <c:v>3792.2509813632614</c:v>
                </c:pt>
                <c:pt idx="622">
                  <c:v>3789.7662945199472</c:v>
                </c:pt>
                <c:pt idx="623">
                  <c:v>3787.185642369971</c:v>
                </c:pt>
                <c:pt idx="624">
                  <c:v>3784.5091502212717</c:v>
                </c:pt>
                <c:pt idx="625">
                  <c:v>3781.736947274559</c:v>
                </c:pt>
                <c:pt idx="626">
                  <c:v>3778.8691666505351</c:v>
                </c:pt>
                <c:pt idx="627">
                  <c:v>3775.9059454126145</c:v>
                </c:pt>
                <c:pt idx="628">
                  <c:v>3772.8474245855214</c:v>
                </c:pt>
                <c:pt idx="629">
                  <c:v>3769.6937491701087</c:v>
                </c:pt>
                <c:pt idx="630">
                  <c:v>3766.4450681547232</c:v>
                </c:pt>
                <c:pt idx="631">
                  <c:v>3763.1015345233927</c:v>
                </c:pt>
                <c:pt idx="632">
                  <c:v>3759.6633052611051</c:v>
                </c:pt>
                <c:pt idx="633">
                  <c:v>3756.1305413564082</c:v>
                </c:pt>
                <c:pt idx="634">
                  <c:v>3752.5034078015478</c:v>
                </c:pt>
                <c:pt idx="635">
                  <c:v>3748.782073590331</c:v>
                </c:pt>
                <c:pt idx="636">
                  <c:v>3744.9667117138952</c:v>
                </c:pt>
                <c:pt idx="637">
                  <c:v>3741.0574991545313</c:v>
                </c:pt>
                <c:pt idx="638">
                  <c:v>3737.0546168777109</c:v>
                </c:pt>
                <c:pt idx="639">
                  <c:v>3732.9582498224386</c:v>
                </c:pt>
                <c:pt idx="640">
                  <c:v>3728.7685868900494</c:v>
                </c:pt>
                <c:pt idx="641">
                  <c:v>3724.4858209315544</c:v>
                </c:pt>
                <c:pt idx="642">
                  <c:v>3720.1101487336264</c:v>
                </c:pt>
                <c:pt idx="643">
                  <c:v>3715.641771003317</c:v>
                </c:pt>
                <c:pt idx="644">
                  <c:v>3711.0808923515774</c:v>
                </c:pt>
                <c:pt idx="645">
                  <c:v>3706.4277212756547</c:v>
                </c:pt>
                <c:pt idx="646">
                  <c:v>3701.6824701404321</c:v>
                </c:pt>
                <c:pt idx="647">
                  <c:v>3696.8453551587645</c:v>
                </c:pt>
                <c:pt idx="648">
                  <c:v>3691.9165963708679</c:v>
                </c:pt>
                <c:pt idx="649">
                  <c:v>3686.8964176228096</c:v>
                </c:pt>
                <c:pt idx="650">
                  <c:v>3681.7850465441452</c:v>
                </c:pt>
                <c:pt idx="651">
                  <c:v>3676.582714524739</c:v>
                </c:pt>
                <c:pt idx="652">
                  <c:v>3671.2896566908121</c:v>
                </c:pt>
                <c:pt idx="653">
                  <c:v>3665.9061118802488</c:v>
                </c:pt>
                <c:pt idx="654">
                  <c:v>3660.4323226171919</c:v>
                </c:pt>
                <c:pt idx="655">
                  <c:v>3654.8685350859619</c:v>
                </c:pt>
                <c:pt idx="656">
                  <c:v>3649.2149991043225</c:v>
                </c:pt>
                <c:pt idx="657">
                  <c:v>3643.4719680961225</c:v>
                </c:pt>
                <c:pt idx="658">
                  <c:v>3637.639699063333</c:v>
                </c:pt>
                <c:pt idx="659">
                  <c:v>3631.7184525575085</c:v>
                </c:pt>
                <c:pt idx="660">
                  <c:v>3625.7084926506873</c:v>
                </c:pt>
                <c:pt idx="661">
                  <c:v>3619.6100869057555</c:v>
                </c:pt>
                <c:pt idx="662">
                  <c:v>3613.4235063462893</c:v>
                </c:pt>
                <c:pt idx="663">
                  <c:v>3607.1490254258988</c:v>
                </c:pt>
                <c:pt idx="664">
                  <c:v>3600.7869219970826</c:v>
                </c:pt>
                <c:pt idx="665">
                  <c:v>3594.3374772796174</c:v>
                </c:pt>
                <c:pt idx="666">
                  <c:v>3587.8009758284916</c:v>
                </c:pt>
                <c:pt idx="667">
                  <c:v>3581.1777055014009</c:v>
                </c:pt>
                <c:pt idx="668">
                  <c:v>3574.4679574258184</c:v>
                </c:pt>
                <c:pt idx="669">
                  <c:v>3567.672025965654</c:v>
                </c:pt>
                <c:pt idx="670">
                  <c:v>3560.7902086875147</c:v>
                </c:pt>
                <c:pt idx="671">
                  <c:v>3553.8228063265801</c:v>
                </c:pt>
                <c:pt idx="672">
                  <c:v>3546.7701227521038</c:v>
                </c:pt>
                <c:pt idx="673">
                  <c:v>3539.6324649325525</c:v>
                </c:pt>
                <c:pt idx="674">
                  <c:v>3532.4101429003963</c:v>
                </c:pt>
                <c:pt idx="675">
                  <c:v>3525.1034697165587</c:v>
                </c:pt>
                <c:pt idx="676">
                  <c:v>3517.7127614345395</c:v>
                </c:pt>
                <c:pt idx="677">
                  <c:v>3510.2383370642206</c:v>
                </c:pt>
                <c:pt idx="678">
                  <c:v>3502.6805185353637</c:v>
                </c:pt>
                <c:pt idx="679">
                  <c:v>3495.0396306608131</c:v>
                </c:pt>
                <c:pt idx="680">
                  <c:v>3487.316001099412</c:v>
                </c:pt>
                <c:pt idx="681">
                  <c:v>3479.5099603186409</c:v>
                </c:pt>
                <c:pt idx="682">
                  <c:v>3471.621841556992</c:v>
                </c:pt>
                <c:pt idx="683">
                  <c:v>3463.651980786085</c:v>
                </c:pt>
                <c:pt idx="684">
                  <c:v>3455.6007166725358</c:v>
                </c:pt>
                <c:pt idx="685">
                  <c:v>3447.4683905395877</c:v>
                </c:pt>
                <c:pt idx="686">
                  <c:v>3439.2553463285144</c:v>
                </c:pt>
                <c:pt idx="687">
                  <c:v>3430.9619305598035</c:v>
                </c:pt>
                <c:pt idx="688">
                  <c:v>3422.5884922941291</c:v>
                </c:pt>
                <c:pt idx="689">
                  <c:v>3414.1353830931253</c:v>
                </c:pt>
                <c:pt idx="690">
                  <c:v>3405.6029569799653</c:v>
                </c:pt>
                <c:pt idx="691">
                  <c:v>3396.9915703997594</c:v>
                </c:pt>
                <c:pt idx="692">
                  <c:v>3388.3015821797767</c:v>
                </c:pt>
                <c:pt idx="693">
                  <c:v>3379.533353489504</c:v>
                </c:pt>
                <c:pt idx="694">
                  <c:v>3370.6872478005453</c:v>
                </c:pt>
                <c:pt idx="695">
                  <c:v>3361.7636308463743</c:v>
                </c:pt>
                <c:pt idx="696">
                  <c:v>3352.7628705819475</c:v>
                </c:pt>
                <c:pt idx="697">
                  <c:v>3343.6853371431871</c:v>
                </c:pt>
                <c:pt idx="698">
                  <c:v>3334.5314028063394</c:v>
                </c:pt>
                <c:pt idx="699">
                  <c:v>3325.3014419472211</c:v>
                </c:pt>
                <c:pt idx="700">
                  <c:v>3315.9958310003594</c:v>
                </c:pt>
                <c:pt idx="701">
                  <c:v>3306.6149484180346</c:v>
                </c:pt>
                <c:pt idx="702">
                  <c:v>3297.1591746292343</c:v>
                </c:pt>
                <c:pt idx="703">
                  <c:v>3287.6288919985268</c:v>
                </c:pt>
                <c:pt idx="704">
                  <c:v>3278.0244847848626</c:v>
                </c:pt>
                <c:pt idx="705">
                  <c:v>3268.3463391003102</c:v>
                </c:pt>
                <c:pt idx="706">
                  <c:v>3258.5948428687375</c:v>
                </c:pt>
                <c:pt idx="707">
                  <c:v>3248.7703857844449</c:v>
                </c:pt>
                <c:pt idx="708">
                  <c:v>3238.8733592707572</c:v>
                </c:pt>
                <c:pt idx="709">
                  <c:v>3228.9041564385843</c:v>
                </c:pt>
                <c:pt idx="710">
                  <c:v>3218.8631720449594</c:v>
                </c:pt>
                <c:pt idx="711">
                  <c:v>3208.7508024515578</c:v>
                </c:pt>
                <c:pt idx="712">
                  <c:v>3198.5674455832109</c:v>
                </c:pt>
                <c:pt idx="713">
                  <c:v>3188.3135008864165</c:v>
                </c:pt>
                <c:pt idx="714">
                  <c:v>3177.9893692878591</c:v>
                </c:pt>
                <c:pt idx="715">
                  <c:v>3167.5954531529433</c:v>
                </c:pt>
                <c:pt idx="716">
                  <c:v>3157.1321562443504</c:v>
                </c:pt>
                <c:pt idx="717">
                  <c:v>3146.5998836806257</c:v>
                </c:pt>
                <c:pt idx="718">
                  <c:v>3135.9990418948018</c:v>
                </c:pt>
                <c:pt idx="719">
                  <c:v>3125.3300385930702</c:v>
                </c:pt>
                <c:pt idx="720">
                  <c:v>3114.5932827135007</c:v>
                </c:pt>
                <c:pt idx="721">
                  <c:v>3103.7891843848265</c:v>
                </c:pt>
                <c:pt idx="722">
                  <c:v>3092.9181548852912</c:v>
                </c:pt>
                <c:pt idx="723">
                  <c:v>3081.9806066015735</c:v>
                </c:pt>
                <c:pt idx="724">
                  <c:v>3070.9769529877926</c:v>
                </c:pt>
                <c:pt idx="725">
                  <c:v>3059.9076085246024</c:v>
                </c:pt>
                <c:pt idx="726">
                  <c:v>3048.7729886783814</c:v>
                </c:pt>
                <c:pt idx="727">
                  <c:v>3037.5735098605246</c:v>
                </c:pt>
                <c:pt idx="728">
                  <c:v>3026.3095893868472</c:v>
                </c:pt>
                <c:pt idx="729">
                  <c:v>3014.9816454371016</c:v>
                </c:pt>
                <c:pt idx="730">
                  <c:v>3003.5900970146213</c:v>
                </c:pt>
                <c:pt idx="731">
                  <c:v>2992.1353639060908</c:v>
                </c:pt>
                <c:pt idx="732">
                  <c:v>2980.6178666414557</c:v>
                </c:pt>
                <c:pt idx="733">
                  <c:v>2969.0380264539731</c:v>
                </c:pt>
                <c:pt idx="734">
                  <c:v>2957.3962652404134</c:v>
                </c:pt>
                <c:pt idx="735">
                  <c:v>2945.693005521417</c:v>
                </c:pt>
                <c:pt idx="736">
                  <c:v>2933.9286704020137</c:v>
                </c:pt>
                <c:pt idx="737">
                  <c:v>2922.1036835323098</c:v>
                </c:pt>
                <c:pt idx="738">
                  <c:v>2910.2184690683512</c:v>
                </c:pt>
                <c:pt idx="739">
                  <c:v>2898.2734516331657</c:v>
                </c:pt>
                <c:pt idx="740">
                  <c:v>2886.2690562779931</c:v>
                </c:pt>
                <c:pt idx="741">
                  <c:v>2874.205708443707</c:v>
                </c:pt>
                <c:pt idx="742">
                  <c:v>2862.0838339224356</c:v>
                </c:pt>
                <c:pt idx="743">
                  <c:v>2849.9038588193862</c:v>
                </c:pt>
                <c:pt idx="744">
                  <c:v>2837.666209514879</c:v>
                </c:pt>
                <c:pt idx="745">
                  <c:v>2825.3713126265975</c:v>
                </c:pt>
                <c:pt idx="746">
                  <c:v>2813.0195949720578</c:v>
                </c:pt>
                <c:pt idx="747">
                  <c:v>2800.6114835313051</c:v>
                </c:pt>
                <c:pt idx="748">
                  <c:v>2788.1474054098412</c:v>
                </c:pt>
                <c:pt idx="749">
                  <c:v>2775.6277878017881</c:v>
                </c:pt>
                <c:pt idx="750">
                  <c:v>2763.0530579532947</c:v>
                </c:pt>
                <c:pt idx="751">
                  <c:v>2750.423643126187</c:v>
                </c:pt>
                <c:pt idx="752">
                  <c:v>2737.7399705618736</c:v>
                </c:pt>
                <c:pt idx="753">
                  <c:v>2725.0024674455035</c:v>
                </c:pt>
                <c:pt idx="754">
                  <c:v>2712.2115608703884</c:v>
                </c:pt>
                <c:pt idx="755">
                  <c:v>2699.3676778026879</c:v>
                </c:pt>
                <c:pt idx="756">
                  <c:v>2686.4712450463653</c:v>
                </c:pt>
                <c:pt idx="757">
                  <c:v>2673.5226892084183</c:v>
                </c:pt>
                <c:pt idx="758">
                  <c:v>2660.5224366643888</c:v>
                </c:pt>
                <c:pt idx="759">
                  <c:v>2647.4709135241537</c:v>
                </c:pt>
                <c:pt idx="760">
                  <c:v>2634.3685455980044</c:v>
                </c:pt>
                <c:pt idx="761">
                  <c:v>2621.2157583630164</c:v>
                </c:pt>
                <c:pt idx="762">
                  <c:v>2608.012976929715</c:v>
                </c:pt>
                <c:pt idx="763">
                  <c:v>2594.7606260090374</c:v>
                </c:pt>
                <c:pt idx="764">
                  <c:v>2581.459129879599</c:v>
                </c:pt>
                <c:pt idx="765">
                  <c:v>2568.1089123552642</c:v>
                </c:pt>
                <c:pt idx="766">
                  <c:v>2554.7103967530279</c:v>
                </c:pt>
                <c:pt idx="767">
                  <c:v>2541.2640058612096</c:v>
                </c:pt>
                <c:pt idx="768">
                  <c:v>2527.7701619079612</c:v>
                </c:pt>
                <c:pt idx="769">
                  <c:v>2514.2292865300969</c:v>
                </c:pt>
                <c:pt idx="770">
                  <c:v>2500.6418007422444</c:v>
                </c:pt>
                <c:pt idx="771">
                  <c:v>2487.0081249063201</c:v>
                </c:pt>
                <c:pt idx="772">
                  <c:v>2473.328678701333</c:v>
                </c:pt>
                <c:pt idx="773">
                  <c:v>2459.6038810935211</c:v>
                </c:pt>
                <c:pt idx="774">
                  <c:v>2445.8341503068182</c:v>
                </c:pt>
                <c:pt idx="775">
                  <c:v>2432.0199037936577</c:v>
                </c:pt>
                <c:pt idx="776">
                  <c:v>2418.1615582061163</c:v>
                </c:pt>
                <c:pt idx="777">
                  <c:v>2404.2595293673967</c:v>
                </c:pt>
                <c:pt idx="778">
                  <c:v>2390.3142322436538</c:v>
                </c:pt>
                <c:pt idx="779">
                  <c:v>2376.3260809161657</c:v>
                </c:pt>
                <c:pt idx="780">
                  <c:v>2362.2954885538516</c:v>
                </c:pt>
                <c:pt idx="781">
                  <c:v>2348.2228673861396</c:v>
                </c:pt>
                <c:pt idx="782">
                  <c:v>2334.1086286761843</c:v>
                </c:pt>
                <c:pt idx="783">
                  <c:v>2319.9531826944371</c:v>
                </c:pt>
                <c:pt idx="784">
                  <c:v>2305.7569386925716</c:v>
                </c:pt>
                <c:pt idx="785">
                  <c:v>2291.5203048777621</c:v>
                </c:pt>
                <c:pt idx="786">
                  <c:v>2277.2436883873224</c:v>
                </c:pt>
                <c:pt idx="787">
                  <c:v>2262.9274952637006</c:v>
                </c:pt>
                <c:pt idx="788">
                  <c:v>2248.5721304298336</c:v>
                </c:pt>
                <c:pt idx="789">
                  <c:v>2234.1779976648641</c:v>
                </c:pt>
                <c:pt idx="790">
                  <c:v>2219.7454995802159</c:v>
                </c:pt>
                <c:pt idx="791">
                  <c:v>2205.2750375960363</c:v>
                </c:pt>
                <c:pt idx="792">
                  <c:v>2190.7670119179966</c:v>
                </c:pt>
                <c:pt idx="793">
                  <c:v>2176.2218215144608</c:v>
                </c:pt>
                <c:pt idx="794">
                  <c:v>2161.6398640940183</c:v>
                </c:pt>
                <c:pt idx="795">
                  <c:v>2147.0215360833795</c:v>
                </c:pt>
                <c:pt idx="796">
                  <c:v>2132.3672326056399</c:v>
                </c:pt>
                <c:pt idx="797">
                  <c:v>2117.6773474589081</c:v>
                </c:pt>
                <c:pt idx="798">
                  <c:v>2102.9522730953017</c:v>
                </c:pt>
                <c:pt idx="799">
                  <c:v>2088.1924006003092</c:v>
                </c:pt>
                <c:pt idx="800">
                  <c:v>2073.3981196725172</c:v>
                </c:pt>
                <c:pt idx="801">
                  <c:v>2058.5698186037052</c:v>
                </c:pt>
                <c:pt idx="802">
                  <c:v>2043.7078842593069</c:v>
                </c:pt>
                <c:pt idx="803">
                  <c:v>2028.8127020592367</c:v>
                </c:pt>
                <c:pt idx="804">
                  <c:v>2013.8846559590836</c:v>
                </c:pt>
                <c:pt idx="805">
                  <c:v>1998.9241284316686</c:v>
                </c:pt>
                <c:pt idx="806">
                  <c:v>1983.9315004489688</c:v>
                </c:pt>
                <c:pt idx="807">
                  <c:v>1968.9071514644052</c:v>
                </c:pt>
                <c:pt idx="808">
                  <c:v>1953.8514593954947</c:v>
                </c:pt>
                <c:pt idx="809">
                  <c:v>1938.7648006068653</c:v>
                </c:pt>
                <c:pt idx="810">
                  <c:v>1923.6475498936334</c:v>
                </c:pt>
                <c:pt idx="811">
                  <c:v>1908.5000804651434</c:v>
                </c:pt>
                <c:pt idx="812">
                  <c:v>1893.3227639290667</c:v>
                </c:pt>
                <c:pt idx="813">
                  <c:v>1878.1159702758619</c:v>
                </c:pt>
                <c:pt idx="814">
                  <c:v>1862.8800678635916</c:v>
                </c:pt>
                <c:pt idx="815">
                  <c:v>1847.6154234030987</c:v>
                </c:pt>
                <c:pt idx="816">
                  <c:v>1832.3224019435374</c:v>
                </c:pt>
                <c:pt idx="817">
                  <c:v>1817.0013668582592</c:v>
                </c:pt>
                <c:pt idx="818">
                  <c:v>1801.6526798310529</c:v>
                </c:pt>
                <c:pt idx="819">
                  <c:v>1786.2767008427363</c:v>
                </c:pt>
                <c:pt idx="820">
                  <c:v>1770.8737881580983</c:v>
                </c:pt>
                <c:pt idx="821">
                  <c:v>1755.4442983131898</c:v>
                </c:pt>
                <c:pt idx="822">
                  <c:v>1739.9885861029632</c:v>
                </c:pt>
                <c:pt idx="823">
                  <c:v>1724.5070045692551</c:v>
                </c:pt>
                <c:pt idx="824">
                  <c:v>1708.9999049891153</c:v>
                </c:pt>
                <c:pt idx="825">
                  <c:v>1693.4676368634762</c:v>
                </c:pt>
                <c:pt idx="826">
                  <c:v>1677.9105479061632</c:v>
                </c:pt>
                <c:pt idx="827">
                  <c:v>1662.3289840332423</c:v>
                </c:pt>
                <c:pt idx="828">
                  <c:v>1646.7232893527053</c:v>
                </c:pt>
                <c:pt idx="829">
                  <c:v>1631.0938061544878</c:v>
                </c:pt>
                <c:pt idx="830">
                  <c:v>1615.4408749008201</c:v>
                </c:pt>
                <c:pt idx="831">
                  <c:v>1599.7648342169073</c:v>
                </c:pt>
                <c:pt idx="832">
                  <c:v>1584.0660208819377</c:v>
                </c:pt>
                <c:pt idx="833">
                  <c:v>1568.3447698204159</c:v>
                </c:pt>
                <c:pt idx="834">
                  <c:v>1552.6014140938198</c:v>
                </c:pt>
                <c:pt idx="835">
                  <c:v>1536.8362848925776</c:v>
                </c:pt>
                <c:pt idx="836">
                  <c:v>1521.0497115283633</c:v>
                </c:pt>
                <c:pt idx="837">
                  <c:v>1505.2420214267086</c:v>
                </c:pt>
                <c:pt idx="838">
                  <c:v>1489.4135401199269</c:v>
                </c:pt>
                <c:pt idx="839">
                  <c:v>1473.5645912403497</c:v>
                </c:pt>
                <c:pt idx="840">
                  <c:v>1457.6954965138707</c:v>
                </c:pt>
                <c:pt idx="841">
                  <c:v>1441.8065757537947</c:v>
                </c:pt>
                <c:pt idx="842">
                  <c:v>1425.8981468549907</c:v>
                </c:pt>
                <c:pt idx="843">
                  <c:v>1409.970525788345</c:v>
                </c:pt>
                <c:pt idx="844">
                  <c:v>1394.0240265955113</c:v>
                </c:pt>
                <c:pt idx="845">
                  <c:v>1378.0589613839566</c:v>
                </c:pt>
                <c:pt idx="846">
                  <c:v>1362.0756403222986</c:v>
                </c:pt>
                <c:pt idx="847">
                  <c:v>1346.0743716359325</c:v>
                </c:pt>
                <c:pt idx="848">
                  <c:v>1330.0554616029442</c:v>
                </c:pt>
                <c:pt idx="849">
                  <c:v>1314.019214550307</c:v>
                </c:pt>
                <c:pt idx="850">
                  <c:v>1297.965932850359</c:v>
                </c:pt>
                <c:pt idx="851">
                  <c:v>1281.895916917558</c:v>
                </c:pt>
                <c:pt idx="852">
                  <c:v>1265.809465205512</c:v>
                </c:pt>
                <c:pt idx="853">
                  <c:v>1249.7068742042798</c:v>
                </c:pt>
                <c:pt idx="854">
                  <c:v>1233.5884384379424</c:v>
                </c:pt>
                <c:pt idx="855">
                  <c:v>1217.4544504624389</c:v>
                </c:pt>
                <c:pt idx="856">
                  <c:v>1201.305200863665</c:v>
                </c:pt>
                <c:pt idx="857">
                  <c:v>1185.1409782558321</c:v>
                </c:pt>
                <c:pt idx="858">
                  <c:v>1168.9620692800822</c:v>
                </c:pt>
                <c:pt idx="859">
                  <c:v>1152.7687586033569</c:v>
                </c:pt>
                <c:pt idx="860">
                  <c:v>1136.5613289175164</c:v>
                </c:pt>
                <c:pt idx="861">
                  <c:v>1120.3400609387063</c:v>
                </c:pt>
                <c:pt idx="862">
                  <c:v>1104.1052334069673</c:v>
                </c:pt>
                <c:pt idx="863">
                  <c:v>1087.8571230860878</c:v>
                </c:pt>
                <c:pt idx="864">
                  <c:v>1071.5960047636929</c:v>
                </c:pt>
                <c:pt idx="865">
                  <c:v>1055.3221512515688</c:v>
                </c:pt>
                <c:pt idx="866">
                  <c:v>1039.0358333862187</c:v>
                </c:pt>
                <c:pt idx="867">
                  <c:v>1022.7373200296464</c:v>
                </c:pt>
                <c:pt idx="868">
                  <c:v>1006.4268780703667</c:v>
                </c:pt>
                <c:pt idx="869">
                  <c:v>990.10477242463571</c:v>
                </c:pt>
                <c:pt idx="870">
                  <c:v>973.77126603790157</c:v>
                </c:pt>
                <c:pt idx="871">
                  <c:v>957.42661988647012</c:v>
                </c:pt>
                <c:pt idx="872">
                  <c:v>941.07109297938314</c:v>
                </c:pt>
                <c:pt idx="873">
                  <c:v>924.70494236050592</c:v>
                </c:pt>
                <c:pt idx="874">
                  <c:v>908.32842311082072</c:v>
                </c:pt>
                <c:pt idx="875">
                  <c:v>891.94178835092305</c:v>
                </c:pt>
                <c:pt idx="876">
                  <c:v>875.54528924371789</c:v>
                </c:pt>
                <c:pt idx="877">
                  <c:v>859.1391749973119</c:v>
                </c:pt>
                <c:pt idx="878">
                  <c:v>842.72369286809942</c:v>
                </c:pt>
                <c:pt idx="879">
                  <c:v>826.29908816403827</c:v>
                </c:pt>
                <c:pt idx="880">
                  <c:v>809.8656042481125</c:v>
                </c:pt>
                <c:pt idx="881">
                  <c:v>793.42348254197918</c:v>
                </c:pt>
                <c:pt idx="882">
                  <c:v>776.97296252979504</c:v>
                </c:pt>
                <c:pt idx="883">
                  <c:v>760.51428176222169</c:v>
                </c:pt>
                <c:pt idx="884">
                  <c:v>744.04767586060404</c:v>
                </c:pt>
                <c:pt idx="885">
                  <c:v>727.57337852132059</c:v>
                </c:pt>
                <c:pt idx="886">
                  <c:v>711.09162152030137</c:v>
                </c:pt>
                <c:pt idx="887">
                  <c:v>694.60263471771111</c:v>
                </c:pt>
                <c:pt idx="888">
                  <c:v>678.10664606279386</c:v>
                </c:pt>
                <c:pt idx="889">
                  <c:v>661.60388159887657</c:v>
                </c:pt>
                <c:pt idx="890">
                  <c:v>645.09456546852857</c:v>
                </c:pt>
                <c:pt idx="891">
                  <c:v>628.578919918873</c:v>
                </c:pt>
                <c:pt idx="892">
                  <c:v>612.05716530704842</c:v>
                </c:pt>
                <c:pt idx="893">
                  <c:v>595.52952010581635</c:v>
                </c:pt>
                <c:pt idx="894">
                  <c:v>578.99620090931285</c:v>
                </c:pt>
                <c:pt idx="895">
                  <c:v>562.45742243894017</c:v>
                </c:pt>
                <c:pt idx="896">
                  <c:v>545.91339754939611</c:v>
                </c:pt>
                <c:pt idx="897">
                  <c:v>529.36433723483799</c:v>
                </c:pt>
                <c:pt idx="898">
                  <c:v>512.81045063517763</c:v>
                </c:pt>
                <c:pt idx="899">
                  <c:v>496.25194504250595</c:v>
                </c:pt>
                <c:pt idx="900">
                  <c:v>479.68902590764236</c:v>
                </c:pt>
                <c:pt idx="901">
                  <c:v>463.12189684680766</c:v>
                </c:pt>
                <c:pt idx="902">
                  <c:v>446.55075964841649</c:v>
                </c:pt>
                <c:pt idx="903">
                  <c:v>429.97581427998722</c:v>
                </c:pt>
                <c:pt idx="904">
                  <c:v>413.39725889516575</c:v>
                </c:pt>
                <c:pt idx="905">
                  <c:v>396.81528984086123</c:v>
                </c:pt>
                <c:pt idx="906">
                  <c:v>380.23010166449006</c:v>
                </c:pt>
                <c:pt idx="907">
                  <c:v>363.64188712132614</c:v>
                </c:pt>
                <c:pt idx="908">
                  <c:v>347.05083718195402</c:v>
                </c:pt>
                <c:pt idx="909">
                  <c:v>330.45714103982272</c:v>
                </c:pt>
                <c:pt idx="910">
                  <c:v>313.86098611889707</c:v>
                </c:pt>
                <c:pt idx="911">
                  <c:v>297.26255808140451</c:v>
                </c:pt>
                <c:pt idx="912">
                  <c:v>280.66204083567379</c:v>
                </c:pt>
                <c:pt idx="913">
                  <c:v>264.059616544064</c:v>
                </c:pt>
                <c:pt idx="914">
                  <c:v>247.45546563098048</c:v>
                </c:pt>
                <c:pt idx="915">
                  <c:v>230.84976679097537</c:v>
                </c:pt>
                <c:pt idx="916">
                  <c:v>214.24269699693036</c:v>
                </c:pt>
                <c:pt idx="917">
                  <c:v>197.6344315083189</c:v>
                </c:pt>
                <c:pt idx="918">
                  <c:v>181.02514387954545</c:v>
                </c:pt>
                <c:pt idx="919">
                  <c:v>164.41500596835928</c:v>
                </c:pt>
                <c:pt idx="920">
                  <c:v>147.80418794434044</c:v>
                </c:pt>
                <c:pt idx="921">
                  <c:v>131.19285829745533</c:v>
                </c:pt>
                <c:pt idx="922">
                  <c:v>114.58118384667965</c:v>
                </c:pt>
                <c:pt idx="923">
                  <c:v>97.969329748686206</c:v>
                </c:pt>
                <c:pt idx="924">
                  <c:v>81.357459506595305</c:v>
                </c:pt>
                <c:pt idx="925">
                  <c:v>64.745734978785379</c:v>
                </c:pt>
                <c:pt idx="926">
                  <c:v>48.134316387761601</c:v>
                </c:pt>
                <c:pt idx="927">
                  <c:v>31.523362329080197</c:v>
                </c:pt>
                <c:pt idx="928">
                  <c:v>14.913029780326177</c:v>
                </c:pt>
                <c:pt idx="929">
                  <c:v>-1.696525889857643</c:v>
                </c:pt>
                <c:pt idx="930">
                  <c:v>-1.7131350179433664</c:v>
                </c:pt>
                <c:pt idx="931">
                  <c:v>-1.7297441450218813</c:v>
                </c:pt>
                <c:pt idx="932">
                  <c:v>-1.7463532710930365</c:v>
                </c:pt>
                <c:pt idx="933">
                  <c:v>-1.7629623961566805</c:v>
                </c:pt>
                <c:pt idx="934">
                  <c:v>-1.7795715202126621</c:v>
                </c:pt>
                <c:pt idx="935">
                  <c:v>-1.79618064326083</c:v>
                </c:pt>
                <c:pt idx="936">
                  <c:v>-1.8127897653010332</c:v>
                </c:pt>
                <c:pt idx="937">
                  <c:v>-1.8293988863331203</c:v>
                </c:pt>
                <c:pt idx="938">
                  <c:v>-1.84600800635694</c:v>
                </c:pt>
                <c:pt idx="939">
                  <c:v>-1.8626171253723409</c:v>
                </c:pt>
                <c:pt idx="940">
                  <c:v>-1.879226243379172</c:v>
                </c:pt>
                <c:pt idx="941">
                  <c:v>-1.8958353603772817</c:v>
                </c:pt>
                <c:pt idx="942">
                  <c:v>-1.9124444763665192</c:v>
                </c:pt>
                <c:pt idx="943">
                  <c:v>-1.9290535913467328</c:v>
                </c:pt>
                <c:pt idx="944">
                  <c:v>-1.9456627053177715</c:v>
                </c:pt>
                <c:pt idx="945">
                  <c:v>-1.962271818279484</c:v>
                </c:pt>
                <c:pt idx="946">
                  <c:v>-1.9788809302317192</c:v>
                </c:pt>
                <c:pt idx="947">
                  <c:v>-1.9954900411743257</c:v>
                </c:pt>
                <c:pt idx="948">
                  <c:v>-2.0120991511071522</c:v>
                </c:pt>
                <c:pt idx="949">
                  <c:v>-2.0287082600300477</c:v>
                </c:pt>
                <c:pt idx="950">
                  <c:v>-2.0453173679428605</c:v>
                </c:pt>
                <c:pt idx="951">
                  <c:v>-2.06192647484544</c:v>
                </c:pt>
                <c:pt idx="952">
                  <c:v>-2.0785355807376344</c:v>
                </c:pt>
                <c:pt idx="953">
                  <c:v>-2.0951446856192928</c:v>
                </c:pt>
                <c:pt idx="954">
                  <c:v>-2.1117537894902636</c:v>
                </c:pt>
                <c:pt idx="955">
                  <c:v>-2.1283628923503959</c:v>
                </c:pt>
                <c:pt idx="956">
                  <c:v>-2.1449719941995382</c:v>
                </c:pt>
                <c:pt idx="957">
                  <c:v>-2.1615810950375396</c:v>
                </c:pt>
                <c:pt idx="958">
                  <c:v>-2.1781901948642486</c:v>
                </c:pt>
                <c:pt idx="959">
                  <c:v>-2.1947992936795142</c:v>
                </c:pt>
                <c:pt idx="960">
                  <c:v>-2.211408391483185</c:v>
                </c:pt>
                <c:pt idx="961">
                  <c:v>-2.22801748827511</c:v>
                </c:pt>
                <c:pt idx="962">
                  <c:v>-2.2446265840551378</c:v>
                </c:pt>
                <c:pt idx="963">
                  <c:v>-2.2612356788231169</c:v>
                </c:pt>
                <c:pt idx="964">
                  <c:v>-2.2778447725788964</c:v>
                </c:pt>
                <c:pt idx="965">
                  <c:v>-2.2944538653223252</c:v>
                </c:pt>
                <c:pt idx="966">
                  <c:v>-2.3110629570532519</c:v>
                </c:pt>
                <c:pt idx="967">
                  <c:v>-2.3276720477715256</c:v>
                </c:pt>
                <c:pt idx="968">
                  <c:v>-2.3442811374769947</c:v>
                </c:pt>
                <c:pt idx="969">
                  <c:v>-2.3608902261695079</c:v>
                </c:pt>
                <c:pt idx="970">
                  <c:v>-2.3774993138489142</c:v>
                </c:pt>
                <c:pt idx="971">
                  <c:v>-2.3941084005150626</c:v>
                </c:pt>
                <c:pt idx="972">
                  <c:v>-2.4107174861678016</c:v>
                </c:pt>
                <c:pt idx="973">
                  <c:v>-2.4273265708069798</c:v>
                </c:pt>
                <c:pt idx="974">
                  <c:v>-2.4439356544324462</c:v>
                </c:pt>
                <c:pt idx="975">
                  <c:v>-2.4605447370440499</c:v>
                </c:pt>
                <c:pt idx="976">
                  <c:v>-2.4771538186416393</c:v>
                </c:pt>
                <c:pt idx="977">
                  <c:v>-2.4937628992250636</c:v>
                </c:pt>
                <c:pt idx="978">
                  <c:v>-2.5103719787941712</c:v>
                </c:pt>
                <c:pt idx="979">
                  <c:v>-2.5269810573488107</c:v>
                </c:pt>
                <c:pt idx="980">
                  <c:v>-2.5435901348888317</c:v>
                </c:pt>
                <c:pt idx="981">
                  <c:v>-2.5601992114140826</c:v>
                </c:pt>
                <c:pt idx="982">
                  <c:v>-2.576808286924412</c:v>
                </c:pt>
                <c:pt idx="983">
                  <c:v>-2.5934173614196689</c:v>
                </c:pt>
                <c:pt idx="984">
                  <c:v>-2.610026434899702</c:v>
                </c:pt>
                <c:pt idx="985">
                  <c:v>-2.6266355073643601</c:v>
                </c:pt>
                <c:pt idx="986">
                  <c:v>-2.6432445788134924</c:v>
                </c:pt>
                <c:pt idx="987">
                  <c:v>-2.6598536492469473</c:v>
                </c:pt>
                <c:pt idx="988">
                  <c:v>-2.676462718664574</c:v>
                </c:pt>
                <c:pt idx="989">
                  <c:v>-2.6930717870662209</c:v>
                </c:pt>
                <c:pt idx="990">
                  <c:v>-2.709680854451737</c:v>
                </c:pt>
                <c:pt idx="991">
                  <c:v>-2.726289920820971</c:v>
                </c:pt>
                <c:pt idx="992">
                  <c:v>-2.7428989861737718</c:v>
                </c:pt>
                <c:pt idx="993">
                  <c:v>-2.7595080505099885</c:v>
                </c:pt>
                <c:pt idx="994">
                  <c:v>-2.7761171138294696</c:v>
                </c:pt>
                <c:pt idx="995">
                  <c:v>-2.7927261761320641</c:v>
                </c:pt>
                <c:pt idx="996">
                  <c:v>-2.8093352374176206</c:v>
                </c:pt>
                <c:pt idx="997">
                  <c:v>-2.8259442976859881</c:v>
                </c:pt>
                <c:pt idx="998">
                  <c:v>-2.8425533569370152</c:v>
                </c:pt>
                <c:pt idx="999">
                  <c:v>-2.8591624151705513</c:v>
                </c:pt>
                <c:pt idx="1000">
                  <c:v>-2.8757714723864445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0-41C6-97FC-918778B1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9072"/>
        <c:axId val="149620992"/>
      </c:scatterChart>
      <c:valAx>
        <c:axId val="149619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20992"/>
        <c:crosses val="autoZero"/>
        <c:crossBetween val="midCat"/>
      </c:valAx>
      <c:valAx>
        <c:axId val="149620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Positions [m]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00654768153980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19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86169712276531"/>
          <c:y val="0.4888892388451444"/>
          <c:w val="0.13679257663546773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Propu!$A$2</c:f>
          <c:strCache>
            <c:ptCount val="1"/>
            <c:pt idx="0">
              <c:v>Barasinga (Pro54-5G C)</c:v>
            </c:pt>
          </c:strCache>
        </c:strRef>
      </c:tx>
      <c:layout>
        <c:manualLayout>
          <c:xMode val="edge"/>
          <c:yMode val="edge"/>
          <c:x val="0.47127077646762688"/>
          <c:y val="3.917859239317449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96559551677733E-2"/>
          <c:y val="5.5426586068345711E-2"/>
          <c:w val="0.88973722710617964"/>
          <c:h val="0.82390179871348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Propu!$A$4</c:f>
              <c:strCache>
                <c:ptCount val="1"/>
                <c:pt idx="0">
                  <c:v>Poussée (en N)</c:v>
                </c:pt>
              </c:strCache>
            </c:strRef>
          </c:tx>
          <c:spPr>
            <a:ln w="2540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Propu!$B$3:$X$3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2.97</c:v>
                </c:pt>
                <c:pt idx="8">
                  <c:v>3.2</c:v>
                </c:pt>
                <c:pt idx="9">
                  <c:v>3.47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3.59</c:v>
                </c:pt>
              </c:numCache>
            </c:numRef>
          </c:xVal>
          <c:yVal>
            <c:numRef>
              <c:f>Propu!$B$4:$X$4</c:f>
              <c:numCache>
                <c:formatCode>General</c:formatCode>
                <c:ptCount val="23"/>
                <c:pt idx="0">
                  <c:v>0</c:v>
                </c:pt>
                <c:pt idx="1">
                  <c:v>893</c:v>
                </c:pt>
                <c:pt idx="2">
                  <c:v>798</c:v>
                </c:pt>
                <c:pt idx="3">
                  <c:v>739</c:v>
                </c:pt>
                <c:pt idx="4">
                  <c:v>659</c:v>
                </c:pt>
                <c:pt idx="5">
                  <c:v>586</c:v>
                </c:pt>
                <c:pt idx="6">
                  <c:v>513</c:v>
                </c:pt>
                <c:pt idx="7">
                  <c:v>417</c:v>
                </c:pt>
                <c:pt idx="8">
                  <c:v>225</c:v>
                </c:pt>
                <c:pt idx="9">
                  <c:v>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8-4D3E-A59C-8AF2F5D3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8480"/>
        <c:axId val="193451520"/>
      </c:scatterChart>
      <c:valAx>
        <c:axId val="193428480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/ Time [s]</a:t>
                </a:r>
              </a:p>
            </c:rich>
          </c:tx>
          <c:layout>
            <c:manualLayout>
              <c:xMode val="edge"/>
              <c:yMode val="edge"/>
              <c:x val="0.78665554917523417"/>
              <c:y val="0.68868125417484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51520"/>
        <c:crosses val="autoZero"/>
        <c:crossBetween val="midCat"/>
      </c:valAx>
      <c:valAx>
        <c:axId val="19345152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Poussée / Thrust [N]</a:t>
                </a:r>
              </a:p>
            </c:rich>
          </c:tx>
          <c:layout>
            <c:manualLayout>
              <c:xMode val="edge"/>
              <c:yMode val="edge"/>
              <c:x val="8.5144147191391295E-2"/>
              <c:y val="0.35327652166872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2848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Spin" dx="15" fmlaLink="$C$22" inc="25" max="30000" noThreeD="1" page="10" val="275"/>
</file>

<file path=xl/ctrlProps/ctrlProp10.xml><?xml version="1.0" encoding="utf-8"?>
<formControlPr xmlns="http://schemas.microsoft.com/office/spreadsheetml/2009/9/main" objectType="Spin" dx="15" fmlaLink="$C$32" max="6" min="3" noThreeD="1" page="10" val="3"/>
</file>

<file path=xl/ctrlProps/ctrlProp11.xml><?xml version="1.0" encoding="utf-8"?>
<formControlPr xmlns="http://schemas.microsoft.com/office/spreadsheetml/2009/9/main" objectType="Spin" dx="15" fmlaLink="$C$13" inc="50" max="30000" noThreeD="1" page="10" val="1300"/>
</file>

<file path=xl/ctrlProps/ctrlProp12.xml><?xml version="1.0" encoding="utf-8"?>
<formControlPr xmlns="http://schemas.microsoft.com/office/spreadsheetml/2009/9/main" objectType="Spin" dx="15" fmlaLink="$C$11" inc="100" max="30000" noThreeD="1" page="10" val="5000"/>
</file>

<file path=xl/ctrlProps/ctrlProp13.xml><?xml version="1.0" encoding="utf-8"?>
<formControlPr xmlns="http://schemas.microsoft.com/office/spreadsheetml/2009/9/main" objectType="Spin" dx="15" fmlaLink="$C$11" inc="100" max="30000" noThreeD="1" page="10" val="5000"/>
</file>

<file path=xl/ctrlProps/ctrlProp14.xml><?xml version="1.0" encoding="utf-8"?>
<formControlPr xmlns="http://schemas.microsoft.com/office/spreadsheetml/2009/9/main" objectType="Spin" dx="15" fmlaLink="Stabilito!C11" inc="100" max="30000" noThreeD="1" page="10" val="5000"/>
</file>

<file path=xl/ctrlProps/ctrlProp15.xml><?xml version="1.0" encoding="utf-8"?>
<formControlPr xmlns="http://schemas.microsoft.com/office/spreadsheetml/2009/9/main" objectType="Spin" dx="15" fmlaLink="$B$43" inc="50" max="30000" noThreeD="1" page="10" val="200"/>
</file>

<file path=xl/ctrlProps/ctrlProp16.xml><?xml version="1.0" encoding="utf-8"?>
<formControlPr xmlns="http://schemas.microsoft.com/office/spreadsheetml/2009/9/main" objectType="Spin" dx="15" fmlaLink="$B$45" inc="50" max="30000" noThreeD="1" page="10" val="250"/>
</file>

<file path=xl/ctrlProps/ctrlProp17.xml><?xml version="1.0" encoding="utf-8"?>
<formControlPr xmlns="http://schemas.microsoft.com/office/spreadsheetml/2009/9/main" objectType="Spin" dx="15" fmlaLink="$B$51" inc="50" max="30000" noThreeD="1" page="10" val="499"/>
</file>

<file path=xl/ctrlProps/ctrlProp18.xml><?xml version="1.0" encoding="utf-8"?>
<formControlPr xmlns="http://schemas.microsoft.com/office/spreadsheetml/2009/9/main" objectType="Spin" dx="15" fmlaLink="$B$53" inc="5" max="30000" noThreeD="1" page="10" val="29"/>
</file>

<file path=xl/ctrlProps/ctrlProp19.xml><?xml version="1.0" encoding="utf-8"?>
<formControlPr xmlns="http://schemas.microsoft.com/office/spreadsheetml/2009/9/main" objectType="Spin" dx="15" fmlaLink="Stabilito!C11" inc="100" max="30000" noThreeD="1" page="10" val="5000"/>
</file>

<file path=xl/ctrlProps/ctrlProp2.xml><?xml version="1.0" encoding="utf-8"?>
<formControlPr xmlns="http://schemas.microsoft.com/office/spreadsheetml/2009/9/main" objectType="Spin" dx="15" fmlaLink="$C$11" inc="100" max="30000" noThreeD="1" page="10" val="5000"/>
</file>

<file path=xl/ctrlProps/ctrlProp20.xml><?xml version="1.0" encoding="utf-8"?>
<formControlPr xmlns="http://schemas.microsoft.com/office/spreadsheetml/2009/9/main" objectType="Spin" dx="15" fmlaLink="Stabilito!C11" inc="100" max="30000" noThreeD="1" page="10" val="5000"/>
</file>

<file path=xl/ctrlProps/ctrlProp3.xml><?xml version="1.0" encoding="utf-8"?>
<formControlPr xmlns="http://schemas.microsoft.com/office/spreadsheetml/2009/9/main" objectType="Spin" dx="15" fmlaLink="$C$12" inc="50" max="30000" noThreeD="1" page="10" val="600"/>
</file>

<file path=xl/ctrlProps/ctrlProp4.xml><?xml version="1.0" encoding="utf-8"?>
<formControlPr xmlns="http://schemas.microsoft.com/office/spreadsheetml/2009/9/main" objectType="Spin" dx="15" fmlaLink="$C$23" inc="20" max="30000" noThreeD="1" page="10" val="84"/>
</file>

<file path=xl/ctrlProps/ctrlProp5.xml><?xml version="1.0" encoding="utf-8"?>
<formControlPr xmlns="http://schemas.microsoft.com/office/spreadsheetml/2009/9/main" objectType="Spin" dx="15" fmlaLink="$C$27" inc="10" max="30000" noThreeD="1" page="10" val="330"/>
</file>

<file path=xl/ctrlProps/ctrlProp6.xml><?xml version="1.0" encoding="utf-8"?>
<formControlPr xmlns="http://schemas.microsoft.com/office/spreadsheetml/2009/9/main" objectType="Spin" dx="15" fmlaLink="$C$28" inc="10" max="30000" noThreeD="1" page="10" val="70"/>
</file>

<file path=xl/ctrlProps/ctrlProp7.xml><?xml version="1.0" encoding="utf-8"?>
<formControlPr xmlns="http://schemas.microsoft.com/office/spreadsheetml/2009/9/main" objectType="Spin" dx="15" fmlaLink="$C$29" inc="10" max="30000" noThreeD="1" page="10" val="190"/>
</file>

<file path=xl/ctrlProps/ctrlProp8.xml><?xml version="1.0" encoding="utf-8"?>
<formControlPr xmlns="http://schemas.microsoft.com/office/spreadsheetml/2009/9/main" objectType="Spin" dx="15" fmlaLink="$C$30" inc="10" max="30000" noThreeD="1" page="10" val="120"/>
</file>

<file path=xl/ctrlProps/ctrlProp9.xml><?xml version="1.0" encoding="utf-8"?>
<formControlPr xmlns="http://schemas.microsoft.com/office/spreadsheetml/2009/9/main" objectType="Spin" dx="15" fmlaLink="$C$31" max="30000" noThreeD="1" page="10" val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" Type="http://schemas.openxmlformats.org/officeDocument/2006/relationships/image" Target="../media/image9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0" Type="http://schemas.openxmlformats.org/officeDocument/2006/relationships/image" Target="../media/image26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8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5" Type="http://schemas.openxmlformats.org/officeDocument/2006/relationships/image" Target="../media/image43.emf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5.png"/><Relationship Id="rId1" Type="http://schemas.openxmlformats.org/officeDocument/2006/relationships/image" Target="../media/image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25400</xdr:rowOff>
    </xdr:from>
    <xdr:to>
      <xdr:col>12</xdr:col>
      <xdr:colOff>488950</xdr:colOff>
      <xdr:row>1</xdr:row>
      <xdr:rowOff>139700</xdr:rowOff>
    </xdr:to>
    <xdr:grpSp>
      <xdr:nvGrpSpPr>
        <xdr:cNvPr id="5096993" name="Groupe 1">
          <a:extLst>
            <a:ext uri="{FF2B5EF4-FFF2-40B4-BE49-F238E27FC236}">
              <a16:creationId xmlns:a16="http://schemas.microsoft.com/office/drawing/2014/main" id="{00000000-0008-0000-0000-000021C64D00}"/>
            </a:ext>
          </a:extLst>
        </xdr:cNvPr>
        <xdr:cNvGrpSpPr>
          <a:grpSpLocks/>
        </xdr:cNvGrpSpPr>
      </xdr:nvGrpSpPr>
      <xdr:grpSpPr bwMode="auto">
        <a:xfrm>
          <a:off x="7365253" y="182282"/>
          <a:ext cx="463550" cy="114300"/>
          <a:chOff x="7067550" y="190500"/>
          <a:chExt cx="438150" cy="114300"/>
        </a:xfrm>
      </xdr:grpSpPr>
      <xdr:pic>
        <xdr:nvPicPr>
          <xdr:cNvPr id="5096999" name="Image 1">
            <a:extLst>
              <a:ext uri="{FF2B5EF4-FFF2-40B4-BE49-F238E27FC236}">
                <a16:creationId xmlns:a16="http://schemas.microsoft.com/office/drawing/2014/main" id="{00000000-0008-0000-0000-000027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67550" y="190500"/>
            <a:ext cx="17145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097000" name="Image 2">
            <a:extLst>
              <a:ext uri="{FF2B5EF4-FFF2-40B4-BE49-F238E27FC236}">
                <a16:creationId xmlns:a16="http://schemas.microsoft.com/office/drawing/2014/main" id="{00000000-0008-0000-0000-000028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7277100" y="190500"/>
            <a:ext cx="22860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5</xdr:col>
      <xdr:colOff>16566</xdr:colOff>
      <xdr:row>1</xdr:row>
      <xdr:rowOff>1</xdr:rowOff>
    </xdr:from>
    <xdr:to>
      <xdr:col>10</xdr:col>
      <xdr:colOff>0</xdr:colOff>
      <xdr:row>24</xdr:row>
      <xdr:rowOff>24848</xdr:rowOff>
    </xdr:to>
    <xdr:graphicFrame macro="">
      <xdr:nvGraphicFramePr>
        <xdr:cNvPr id="5096994" name="Graphique 9">
          <a:extLst>
            <a:ext uri="{FF2B5EF4-FFF2-40B4-BE49-F238E27FC236}">
              <a16:creationId xmlns:a16="http://schemas.microsoft.com/office/drawing/2014/main" id="{00000000-0008-0000-0000-000022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5096995" name="Graphique 19">
          <a:extLst>
            <a:ext uri="{FF2B5EF4-FFF2-40B4-BE49-F238E27FC236}">
              <a16:creationId xmlns:a16="http://schemas.microsoft.com/office/drawing/2014/main" id="{00000000-0008-0000-0000-000023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5</xdr:row>
      <xdr:rowOff>1722</xdr:rowOff>
    </xdr:to>
    <xdr:pic>
      <xdr:nvPicPr>
        <xdr:cNvPr id="5096996" name="Picture 8" descr="logoplasci">
          <a:extLst>
            <a:ext uri="{FF2B5EF4-FFF2-40B4-BE49-F238E27FC236}">
              <a16:creationId xmlns:a16="http://schemas.microsoft.com/office/drawing/2014/main" id="{00000000-0008-0000-0000-000024C6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36</xdr:row>
      <xdr:rowOff>133350</xdr:rowOff>
    </xdr:from>
    <xdr:to>
      <xdr:col>2</xdr:col>
      <xdr:colOff>850900</xdr:colOff>
      <xdr:row>48</xdr:row>
      <xdr:rowOff>41275</xdr:rowOff>
    </xdr:to>
    <xdr:pic>
      <xdr:nvPicPr>
        <xdr:cNvPr id="5096997" name="Image 1">
          <a:extLst>
            <a:ext uri="{FF2B5EF4-FFF2-40B4-BE49-F238E27FC236}">
              <a16:creationId xmlns:a16="http://schemas.microsoft.com/office/drawing/2014/main" id="{00000000-0008-0000-0000-000025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2875" y="5962650"/>
          <a:ext cx="1936750" cy="185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3</xdr:row>
      <xdr:rowOff>12700</xdr:rowOff>
    </xdr:from>
    <xdr:to>
      <xdr:col>20</xdr:col>
      <xdr:colOff>565150</xdr:colOff>
      <xdr:row>9</xdr:row>
      <xdr:rowOff>12700</xdr:rowOff>
    </xdr:to>
    <xdr:pic>
      <xdr:nvPicPr>
        <xdr:cNvPr id="5096998" name="Image 2">
          <a:extLst>
            <a:ext uri="{FF2B5EF4-FFF2-40B4-BE49-F238E27FC236}">
              <a16:creationId xmlns:a16="http://schemas.microsoft.com/office/drawing/2014/main" id="{00000000-0008-0000-0000-000026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810750" y="488950"/>
          <a:ext cx="21526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21</xdr:row>
          <xdr:rowOff>9525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6775" name="Spinner 935" hidden="1">
              <a:extLst>
                <a:ext uri="{63B3BB69-23CF-44E3-9099-C40C66FF867C}">
                  <a14:compatExt spid="_x0000_s36775"/>
                </a:ext>
                <a:ext uri="{FF2B5EF4-FFF2-40B4-BE49-F238E27FC236}">
                  <a16:creationId xmlns:a16="http://schemas.microsoft.com/office/drawing/2014/main" id="{00000000-0008-0000-0000-0000A7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10</xdr:row>
          <xdr:rowOff>9525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36781" name="Spinner 941" hidden="1">
              <a:extLst>
                <a:ext uri="{63B3BB69-23CF-44E3-9099-C40C66FF867C}">
                  <a14:compatExt spid="_x0000_s36781"/>
                </a:ext>
                <a:ext uri="{FF2B5EF4-FFF2-40B4-BE49-F238E27FC236}">
                  <a16:creationId xmlns:a16="http://schemas.microsoft.com/office/drawing/2014/main" id="{00000000-0008-0000-0000-0000A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11</xdr:row>
          <xdr:rowOff>9525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36782" name="Spinner 942" hidden="1">
              <a:extLst>
                <a:ext uri="{63B3BB69-23CF-44E3-9099-C40C66FF867C}">
                  <a14:compatExt spid="_x0000_s36782"/>
                </a:ext>
                <a:ext uri="{FF2B5EF4-FFF2-40B4-BE49-F238E27FC236}">
                  <a16:creationId xmlns:a16="http://schemas.microsoft.com/office/drawing/2014/main" id="{00000000-0008-0000-0000-0000A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22</xdr:row>
          <xdr:rowOff>9525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36783" name="Spinner 943" hidden="1">
              <a:extLst>
                <a:ext uri="{63B3BB69-23CF-44E3-9099-C40C66FF867C}">
                  <a14:compatExt spid="_x0000_s36783"/>
                </a:ext>
                <a:ext uri="{FF2B5EF4-FFF2-40B4-BE49-F238E27FC236}">
                  <a16:creationId xmlns:a16="http://schemas.microsoft.com/office/drawing/2014/main" id="{00000000-0008-0000-0000-0000A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26</xdr:row>
          <xdr:rowOff>9525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36789" name="Spinner 949" hidden="1">
              <a:extLst>
                <a:ext uri="{63B3BB69-23CF-44E3-9099-C40C66FF867C}">
                  <a14:compatExt spid="_x0000_s36789"/>
                </a:ext>
                <a:ext uri="{FF2B5EF4-FFF2-40B4-BE49-F238E27FC236}">
                  <a16:creationId xmlns:a16="http://schemas.microsoft.com/office/drawing/2014/main" id="{00000000-0008-0000-0000-0000B5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27</xdr:row>
          <xdr:rowOff>9525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6795" name="Spinner 955" hidden="1">
              <a:extLst>
                <a:ext uri="{63B3BB69-23CF-44E3-9099-C40C66FF867C}">
                  <a14:compatExt spid="_x0000_s36795"/>
                </a:ext>
                <a:ext uri="{FF2B5EF4-FFF2-40B4-BE49-F238E27FC236}">
                  <a16:creationId xmlns:a16="http://schemas.microsoft.com/office/drawing/2014/main" id="{00000000-0008-0000-0000-0000BB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28</xdr:row>
          <xdr:rowOff>9525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6796" name="Spinner 956" hidden="1">
              <a:extLst>
                <a:ext uri="{63B3BB69-23CF-44E3-9099-C40C66FF867C}">
                  <a14:compatExt spid="_x0000_s36796"/>
                </a:ext>
                <a:ext uri="{FF2B5EF4-FFF2-40B4-BE49-F238E27FC236}">
                  <a16:creationId xmlns:a16="http://schemas.microsoft.com/office/drawing/2014/main" id="{00000000-0008-0000-0000-0000BC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29</xdr:row>
          <xdr:rowOff>9525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36797" name="Spinner 957" hidden="1">
              <a:extLst>
                <a:ext uri="{63B3BB69-23CF-44E3-9099-C40C66FF867C}">
                  <a14:compatExt spid="_x0000_s36797"/>
                </a:ext>
                <a:ext uri="{FF2B5EF4-FFF2-40B4-BE49-F238E27FC236}">
                  <a16:creationId xmlns:a16="http://schemas.microsoft.com/office/drawing/2014/main" id="{00000000-0008-0000-0000-0000B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30</xdr:row>
          <xdr:rowOff>9525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36798" name="Spinner 958" hidden="1">
              <a:extLst>
                <a:ext uri="{63B3BB69-23CF-44E3-9099-C40C66FF867C}">
                  <a14:compatExt spid="_x0000_s36798"/>
                </a:ext>
                <a:ext uri="{FF2B5EF4-FFF2-40B4-BE49-F238E27FC236}">
                  <a16:creationId xmlns:a16="http://schemas.microsoft.com/office/drawing/2014/main" id="{00000000-0008-0000-0000-0000B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31</xdr:row>
          <xdr:rowOff>9525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36799" name="Spinner 959" hidden="1">
              <a:extLst>
                <a:ext uri="{63B3BB69-23CF-44E3-9099-C40C66FF867C}">
                  <a14:compatExt spid="_x0000_s36799"/>
                </a:ext>
                <a:ext uri="{FF2B5EF4-FFF2-40B4-BE49-F238E27FC236}">
                  <a16:creationId xmlns:a16="http://schemas.microsoft.com/office/drawing/2014/main" id="{00000000-0008-0000-0000-0000B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12</xdr:row>
          <xdr:rowOff>9525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6801" name="Spinner 961" hidden="1">
              <a:extLst>
                <a:ext uri="{63B3BB69-23CF-44E3-9099-C40C66FF867C}">
                  <a14:compatExt spid="_x0000_s36801"/>
                </a:ext>
                <a:ext uri="{FF2B5EF4-FFF2-40B4-BE49-F238E27FC236}">
                  <a16:creationId xmlns:a16="http://schemas.microsoft.com/office/drawing/2014/main" id="{00000000-0008-0000-0000-0000C1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1" name="Spinner 3315" hidden="1">
              <a:extLst>
                <a:ext uri="{63B3BB69-23CF-44E3-9099-C40C66FF867C}">
                  <a14:compatExt spid="_x0000_s5096691"/>
                </a:ext>
                <a:ext uri="{FF2B5EF4-FFF2-40B4-BE49-F238E27FC236}">
                  <a16:creationId xmlns:a16="http://schemas.microsoft.com/office/drawing/2014/main" id="{00000000-0008-0000-0000-0000F3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2" name="Spinner 3316" hidden="1">
              <a:extLst>
                <a:ext uri="{63B3BB69-23CF-44E3-9099-C40C66FF867C}">
                  <a14:compatExt spid="_x0000_s5096692"/>
                </a:ext>
                <a:ext uri="{FF2B5EF4-FFF2-40B4-BE49-F238E27FC236}">
                  <a16:creationId xmlns:a16="http://schemas.microsoft.com/office/drawing/2014/main" id="{00000000-0008-0000-0000-0000F4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4779983" name="Graphique 1">
          <a:extLst>
            <a:ext uri="{FF2B5EF4-FFF2-40B4-BE49-F238E27FC236}">
              <a16:creationId xmlns:a16="http://schemas.microsoft.com/office/drawing/2014/main" id="{00000000-0008-0000-0100-0000CF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4779984" name="Graphique 2">
          <a:extLst>
            <a:ext uri="{FF2B5EF4-FFF2-40B4-BE49-F238E27FC236}">
              <a16:creationId xmlns:a16="http://schemas.microsoft.com/office/drawing/2014/main" id="{00000000-0008-0000-0100-0000D0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5</xdr:row>
      <xdr:rowOff>932</xdr:rowOff>
    </xdr:to>
    <xdr:pic>
      <xdr:nvPicPr>
        <xdr:cNvPr id="4779985" name="Picture 8" descr="logoplasci">
          <a:extLst>
            <a:ext uri="{FF2B5EF4-FFF2-40B4-BE49-F238E27FC236}">
              <a16:creationId xmlns:a16="http://schemas.microsoft.com/office/drawing/2014/main" id="{00000000-0008-0000-0100-0000D1EF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6510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139700</xdr:colOff>
      <xdr:row>38</xdr:row>
      <xdr:rowOff>120650</xdr:rowOff>
    </xdr:from>
    <xdr:to>
      <xdr:col>3</xdr:col>
      <xdr:colOff>723900</xdr:colOff>
      <xdr:row>46</xdr:row>
      <xdr:rowOff>0</xdr:rowOff>
    </xdr:to>
    <xdr:grpSp>
      <xdr:nvGrpSpPr>
        <xdr:cNvPr id="4779986" name="Groupe 1">
          <a:extLst>
            <a:ext uri="{FF2B5EF4-FFF2-40B4-BE49-F238E27FC236}">
              <a16:creationId xmlns:a16="http://schemas.microsoft.com/office/drawing/2014/main" id="{00000000-0008-0000-0100-0000D2EF4800}"/>
            </a:ext>
          </a:extLst>
        </xdr:cNvPr>
        <xdr:cNvGrpSpPr>
          <a:grpSpLocks/>
        </xdr:cNvGrpSpPr>
      </xdr:nvGrpSpPr>
      <xdr:grpSpPr bwMode="auto">
        <a:xfrm>
          <a:off x="1372347" y="6093385"/>
          <a:ext cx="1346200" cy="1134409"/>
          <a:chOff x="1362075" y="6410325"/>
          <a:chExt cx="1319468" cy="1181100"/>
        </a:xfrm>
      </xdr:grpSpPr>
      <xdr:sp macro="" textlink="">
        <xdr:nvSpPr>
          <xdr:cNvPr id="4779991" name="Line 320">
            <a:extLst>
              <a:ext uri="{FF2B5EF4-FFF2-40B4-BE49-F238E27FC236}">
                <a16:creationId xmlns:a16="http://schemas.microsoft.com/office/drawing/2014/main" id="{00000000-0008-0000-0100-0000D7EF48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2415" y="7296150"/>
            <a:ext cx="35118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  <xdr:sp macro="" textlink="">
        <xdr:nvSpPr>
          <xdr:cNvPr id="4779992" name="Rectangle 314">
            <a:extLst>
              <a:ext uri="{FF2B5EF4-FFF2-40B4-BE49-F238E27FC236}">
                <a16:creationId xmlns:a16="http://schemas.microsoft.com/office/drawing/2014/main" id="{00000000-0008-0000-0100-0000D8EF4800}"/>
              </a:ext>
            </a:extLst>
          </xdr:cNvPr>
          <xdr:cNvSpPr>
            <a:spLocks noChangeArrowheads="1"/>
          </xdr:cNvSpPr>
        </xdr:nvSpPr>
        <xdr:spPr bwMode="auto">
          <a:xfrm>
            <a:off x="1833672" y="6410325"/>
            <a:ext cx="481630" cy="1181100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3" name="Rectangle 315">
            <a:extLst>
              <a:ext uri="{FF2B5EF4-FFF2-40B4-BE49-F238E27FC236}">
                <a16:creationId xmlns:a16="http://schemas.microsoft.com/office/drawing/2014/main" id="{00000000-0008-0000-0100-0000D9EF48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1838363" y="6388995"/>
            <a:ext cx="482283" cy="1204076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4" name="Line 316">
            <a:extLst>
              <a:ext uri="{FF2B5EF4-FFF2-40B4-BE49-F238E27FC236}">
                <a16:creationId xmlns:a16="http://schemas.microsoft.com/office/drawing/2014/main" id="{00000000-0008-0000-0100-0000DAEF4800}"/>
              </a:ext>
            </a:extLst>
          </xdr:cNvPr>
          <xdr:cNvSpPr>
            <a:spLocks noChangeShapeType="1"/>
          </xdr:cNvSpPr>
        </xdr:nvSpPr>
        <xdr:spPr bwMode="auto">
          <a:xfrm>
            <a:off x="1833672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5" name="Line 317">
            <a:extLst>
              <a:ext uri="{FF2B5EF4-FFF2-40B4-BE49-F238E27FC236}">
                <a16:creationId xmlns:a16="http://schemas.microsoft.com/office/drawing/2014/main" id="{00000000-0008-0000-0100-0000DBEF4800}"/>
              </a:ext>
            </a:extLst>
          </xdr:cNvPr>
          <xdr:cNvSpPr>
            <a:spLocks noChangeShapeType="1"/>
          </xdr:cNvSpPr>
        </xdr:nvSpPr>
        <xdr:spPr bwMode="auto">
          <a:xfrm>
            <a:off x="2312198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6" name="Line 319">
            <a:extLst>
              <a:ext uri="{FF2B5EF4-FFF2-40B4-BE49-F238E27FC236}">
                <a16:creationId xmlns:a16="http://schemas.microsoft.com/office/drawing/2014/main" id="{00000000-0008-0000-0100-0000DCEF4800}"/>
              </a:ext>
            </a:extLst>
          </xdr:cNvPr>
          <xdr:cNvSpPr>
            <a:spLocks noChangeShapeType="1"/>
          </xdr:cNvSpPr>
        </xdr:nvSpPr>
        <xdr:spPr bwMode="auto">
          <a:xfrm>
            <a:off x="1362075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</xdr:grpSp>
    <xdr:clientData/>
  </xdr:twoCellAnchor>
  <xdr:twoCellAnchor>
    <xdr:from>
      <xdr:col>2</xdr:col>
      <xdr:colOff>260350</xdr:colOff>
      <xdr:row>49</xdr:row>
      <xdr:rowOff>19050</xdr:rowOff>
    </xdr:from>
    <xdr:to>
      <xdr:col>3</xdr:col>
      <xdr:colOff>514350</xdr:colOff>
      <xdr:row>54</xdr:row>
      <xdr:rowOff>120650</xdr:rowOff>
    </xdr:to>
    <xdr:sp macro="" textlink="">
      <xdr:nvSpPr>
        <xdr:cNvPr id="4779987" name="Oval 323">
          <a:extLst>
            <a:ext uri="{FF2B5EF4-FFF2-40B4-BE49-F238E27FC236}">
              <a16:creationId xmlns:a16="http://schemas.microsoft.com/office/drawing/2014/main" id="{00000000-0008-0000-0100-0000D3EF4800}"/>
            </a:ext>
          </a:extLst>
        </xdr:cNvPr>
        <xdr:cNvSpPr>
          <a:spLocks noChangeArrowheads="1"/>
        </xdr:cNvSpPr>
      </xdr:nvSpPr>
      <xdr:spPr bwMode="auto">
        <a:xfrm>
          <a:off x="1549400" y="7981950"/>
          <a:ext cx="1047750" cy="927100"/>
        </a:xfrm>
        <a:prstGeom prst="ellipse">
          <a:avLst/>
        </a:prstGeom>
        <a:solidFill>
          <a:srgbClr val="F2F2F2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698500</xdr:colOff>
      <xdr:row>51</xdr:row>
      <xdr:rowOff>57150</xdr:rowOff>
    </xdr:from>
    <xdr:to>
      <xdr:col>3</xdr:col>
      <xdr:colOff>88900</xdr:colOff>
      <xdr:row>52</xdr:row>
      <xdr:rowOff>76200</xdr:rowOff>
    </xdr:to>
    <xdr:sp macro="" textlink="">
      <xdr:nvSpPr>
        <xdr:cNvPr id="4779988" name="Oval 323">
          <a:extLst>
            <a:ext uri="{FF2B5EF4-FFF2-40B4-BE49-F238E27FC236}">
              <a16:creationId xmlns:a16="http://schemas.microsoft.com/office/drawing/2014/main" id="{00000000-0008-0000-0100-0000D4EF4800}"/>
            </a:ext>
          </a:extLst>
        </xdr:cNvPr>
        <xdr:cNvSpPr>
          <a:spLocks noChangeArrowheads="1"/>
        </xdr:cNvSpPr>
      </xdr:nvSpPr>
      <xdr:spPr bwMode="auto">
        <a:xfrm>
          <a:off x="1987550" y="8350250"/>
          <a:ext cx="184150" cy="184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49</xdr:row>
      <xdr:rowOff>19050</xdr:rowOff>
    </xdr:from>
    <xdr:to>
      <xdr:col>3</xdr:col>
      <xdr:colOff>0</xdr:colOff>
      <xdr:row>51</xdr:row>
      <xdr:rowOff>146050</xdr:rowOff>
    </xdr:to>
    <xdr:sp macro="" textlink="">
      <xdr:nvSpPr>
        <xdr:cNvPr id="4779989" name="Line 324">
          <a:extLst>
            <a:ext uri="{FF2B5EF4-FFF2-40B4-BE49-F238E27FC236}">
              <a16:creationId xmlns:a16="http://schemas.microsoft.com/office/drawing/2014/main" id="{00000000-0008-0000-0100-0000D5EF4800}"/>
            </a:ext>
          </a:extLst>
        </xdr:cNvPr>
        <xdr:cNvSpPr>
          <a:spLocks noChangeShapeType="1"/>
        </xdr:cNvSpPr>
      </xdr:nvSpPr>
      <xdr:spPr bwMode="auto">
        <a:xfrm>
          <a:off x="2082800" y="7981950"/>
          <a:ext cx="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51</xdr:row>
      <xdr:rowOff>146050</xdr:rowOff>
    </xdr:from>
    <xdr:to>
      <xdr:col>3</xdr:col>
      <xdr:colOff>0</xdr:colOff>
      <xdr:row>52</xdr:row>
      <xdr:rowOff>88900</xdr:rowOff>
    </xdr:to>
    <xdr:sp macro="" textlink="">
      <xdr:nvSpPr>
        <xdr:cNvPr id="4779990" name="Line 324">
          <a:extLst>
            <a:ext uri="{FF2B5EF4-FFF2-40B4-BE49-F238E27FC236}">
              <a16:creationId xmlns:a16="http://schemas.microsoft.com/office/drawing/2014/main" id="{00000000-0008-0000-0100-0000D6EF4800}"/>
            </a:ext>
          </a:extLst>
        </xdr:cNvPr>
        <xdr:cNvSpPr>
          <a:spLocks noChangeShapeType="1"/>
        </xdr:cNvSpPr>
      </xdr:nvSpPr>
      <xdr:spPr bwMode="auto">
        <a:xfrm flipH="1">
          <a:off x="2082800" y="8439150"/>
          <a:ext cx="0" cy="1079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424424" name="Spinner 1064" hidden="1">
              <a:extLst>
                <a:ext uri="{63B3BB69-23CF-44E3-9099-C40C66FF867C}">
                  <a14:compatExt spid="_x0000_s1424424"/>
                </a:ext>
                <a:ext uri="{FF2B5EF4-FFF2-40B4-BE49-F238E27FC236}">
                  <a16:creationId xmlns:a16="http://schemas.microsoft.com/office/drawing/2014/main" id="{00000000-0008-0000-0100-000028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42</xdr:row>
          <xdr:rowOff>9525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424589" name="Spinner 1229" hidden="1">
              <a:extLst>
                <a:ext uri="{63B3BB69-23CF-44E3-9099-C40C66FF867C}">
                  <a14:compatExt spid="_x0000_s1424589"/>
                </a:ext>
                <a:ext uri="{FF2B5EF4-FFF2-40B4-BE49-F238E27FC236}">
                  <a16:creationId xmlns:a16="http://schemas.microsoft.com/office/drawing/2014/main" id="{00000000-0008-0000-0100-0000CD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44</xdr:row>
          <xdr:rowOff>9525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424590" name="Spinner 1230" hidden="1">
              <a:extLst>
                <a:ext uri="{63B3BB69-23CF-44E3-9099-C40C66FF867C}">
                  <a14:compatExt spid="_x0000_s1424590"/>
                </a:ext>
                <a:ext uri="{FF2B5EF4-FFF2-40B4-BE49-F238E27FC236}">
                  <a16:creationId xmlns:a16="http://schemas.microsoft.com/office/drawing/2014/main" id="{00000000-0008-0000-0100-0000CE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50</xdr:row>
          <xdr:rowOff>9525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424591" name="Spinner 1231" hidden="1">
              <a:extLst>
                <a:ext uri="{63B3BB69-23CF-44E3-9099-C40C66FF867C}">
                  <a14:compatExt spid="_x0000_s1424591"/>
                </a:ext>
                <a:ext uri="{FF2B5EF4-FFF2-40B4-BE49-F238E27FC236}">
                  <a16:creationId xmlns:a16="http://schemas.microsoft.com/office/drawing/2014/main" id="{00000000-0008-0000-0100-0000CF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sp macro="" textlink="">
      <xdr:nvSpPr>
        <xdr:cNvPr id="1425294" name="Object 1934" hidden="1">
          <a:extLst>
            <a:ext uri="{63B3BB69-23CF-44E3-9099-C40C66FF867C}">
              <a14:compatExt xmlns:a14="http://schemas.microsoft.com/office/drawing/2010/main" spid="_x0000_s1425294"/>
            </a:ext>
            <a:ext uri="{FF2B5EF4-FFF2-40B4-BE49-F238E27FC236}">
              <a16:creationId xmlns:a16="http://schemas.microsoft.com/office/drawing/2014/main" id="{00000000-0008-0000-0100-00008EBF15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52</xdr:row>
          <xdr:rowOff>9525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4779462" name="Spinner 4550" hidden="1">
              <a:extLst>
                <a:ext uri="{63B3BB69-23CF-44E3-9099-C40C66FF867C}">
                  <a14:compatExt spid="_x0000_s4779462"/>
                </a:ext>
                <a:ext uri="{FF2B5EF4-FFF2-40B4-BE49-F238E27FC236}">
                  <a16:creationId xmlns:a16="http://schemas.microsoft.com/office/drawing/2014/main" id="{00000000-0008-0000-0100-0000C6ED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pic>
      <xdr:nvPicPr>
        <xdr:cNvPr id="2" name="Picture 19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135225"/>
          <a:ext cx="264795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0</xdr:rowOff>
    </xdr:from>
    <xdr:to>
      <xdr:col>10</xdr:col>
      <xdr:colOff>622300</xdr:colOff>
      <xdr:row>19</xdr:row>
      <xdr:rowOff>0</xdr:rowOff>
    </xdr:to>
    <xdr:graphicFrame macro="">
      <xdr:nvGraphicFramePr>
        <xdr:cNvPr id="5105813" name="Graphique 1">
          <a:extLst>
            <a:ext uri="{FF2B5EF4-FFF2-40B4-BE49-F238E27FC236}">
              <a16:creationId xmlns:a16="http://schemas.microsoft.com/office/drawing/2014/main" id="{00000000-0008-0000-0200-000095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37</xdr:row>
      <xdr:rowOff>0</xdr:rowOff>
    </xdr:from>
    <xdr:to>
      <xdr:col>10</xdr:col>
      <xdr:colOff>622300</xdr:colOff>
      <xdr:row>55</xdr:row>
      <xdr:rowOff>0</xdr:rowOff>
    </xdr:to>
    <xdr:graphicFrame macro="">
      <xdr:nvGraphicFramePr>
        <xdr:cNvPr id="5105814" name="Graphique 2">
          <a:extLst>
            <a:ext uri="{FF2B5EF4-FFF2-40B4-BE49-F238E27FC236}">
              <a16:creationId xmlns:a16="http://schemas.microsoft.com/office/drawing/2014/main" id="{00000000-0008-0000-0200-000096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19</xdr:row>
      <xdr:rowOff>0</xdr:rowOff>
    </xdr:from>
    <xdr:to>
      <xdr:col>10</xdr:col>
      <xdr:colOff>622300</xdr:colOff>
      <xdr:row>37</xdr:row>
      <xdr:rowOff>0</xdr:rowOff>
    </xdr:to>
    <xdr:graphicFrame macro="">
      <xdr:nvGraphicFramePr>
        <xdr:cNvPr id="5105815" name="Graphique 3">
          <a:extLst>
            <a:ext uri="{FF2B5EF4-FFF2-40B4-BE49-F238E27FC236}">
              <a16:creationId xmlns:a16="http://schemas.microsoft.com/office/drawing/2014/main" id="{00000000-0008-0000-0200-000097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55</xdr:row>
      <xdr:rowOff>0</xdr:rowOff>
    </xdr:from>
    <xdr:to>
      <xdr:col>10</xdr:col>
      <xdr:colOff>622300</xdr:colOff>
      <xdr:row>73</xdr:row>
      <xdr:rowOff>0</xdr:rowOff>
    </xdr:to>
    <xdr:graphicFrame macro="">
      <xdr:nvGraphicFramePr>
        <xdr:cNvPr id="5105816" name="Graphique 4">
          <a:extLst>
            <a:ext uri="{FF2B5EF4-FFF2-40B4-BE49-F238E27FC236}">
              <a16:creationId xmlns:a16="http://schemas.microsoft.com/office/drawing/2014/main" id="{00000000-0008-0000-0200-000098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44450</xdr:rowOff>
    </xdr:from>
    <xdr:to>
      <xdr:col>7</xdr:col>
      <xdr:colOff>215900</xdr:colOff>
      <xdr:row>19</xdr:row>
      <xdr:rowOff>133350</xdr:rowOff>
    </xdr:to>
    <xdr:graphicFrame macro="">
      <xdr:nvGraphicFramePr>
        <xdr:cNvPr id="5110822" name="Graphique 1">
          <a:extLst>
            <a:ext uri="{FF2B5EF4-FFF2-40B4-BE49-F238E27FC236}">
              <a16:creationId xmlns:a16="http://schemas.microsoft.com/office/drawing/2014/main" id="{00000000-0008-0000-0300-000026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1008</xdr:row>
      <xdr:rowOff>146050</xdr:rowOff>
    </xdr:from>
    <xdr:to>
      <xdr:col>16</xdr:col>
      <xdr:colOff>152400</xdr:colOff>
      <xdr:row>1010</xdr:row>
      <xdr:rowOff>82550</xdr:rowOff>
    </xdr:to>
    <xdr:sp macro="" textlink="">
      <xdr:nvSpPr>
        <xdr:cNvPr id="3393" name="Line 60"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SpPr>
          <a:spLocks noChangeShapeType="1"/>
        </xdr:cNvSpPr>
      </xdr:nvSpPr>
      <xdr:spPr bwMode="auto">
        <a:xfrm flipH="1">
          <a:off x="5759450" y="160172400"/>
          <a:ext cx="1098550" cy="25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1011</xdr:row>
      <xdr:rowOff>95250</xdr:rowOff>
    </xdr:from>
    <xdr:to>
      <xdr:col>17</xdr:col>
      <xdr:colOff>349250</xdr:colOff>
      <xdr:row>1013</xdr:row>
      <xdr:rowOff>139700</xdr:rowOff>
    </xdr:to>
    <xdr:sp macro="" textlink="">
      <xdr:nvSpPr>
        <xdr:cNvPr id="3394" name="Line 71"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5978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1012</xdr:row>
      <xdr:rowOff>139700</xdr:rowOff>
    </xdr:from>
    <xdr:to>
      <xdr:col>17</xdr:col>
      <xdr:colOff>349250</xdr:colOff>
      <xdr:row>1015</xdr:row>
      <xdr:rowOff>25400</xdr:rowOff>
    </xdr:to>
    <xdr:sp macro="" textlink="">
      <xdr:nvSpPr>
        <xdr:cNvPr id="3395" name="Line 71"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8010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sp macro="" textlink="">
      <xdr:nvSpPr>
        <xdr:cNvPr id="3091" name="Object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sp macro="" textlink="">
      <xdr:nvSpPr>
        <xdr:cNvPr id="3092" name="Object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sp macro="" textlink="">
      <xdr:nvSpPr>
        <xdr:cNvPr id="3096" name="Object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sp macro="" textlink="">
      <xdr:nvSpPr>
        <xdr:cNvPr id="3112" name="Object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sp macro="" textlink="">
      <xdr:nvSpPr>
        <xdr:cNvPr id="3114" name="Object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sp macro="" textlink="">
      <xdr:nvSpPr>
        <xdr:cNvPr id="3115" name="Object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sp macro="" textlink="">
      <xdr:nvSpPr>
        <xdr:cNvPr id="3119" name="Object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sp macro="" textlink="">
      <xdr:nvSpPr>
        <xdr:cNvPr id="3120" name="Object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sp macro="" textlink="">
      <xdr:nvSpPr>
        <xdr:cNvPr id="3121" name="Object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sp macro="" textlink="">
      <xdr:nvSpPr>
        <xdr:cNvPr id="3122" name="Object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sp macro="" textlink="">
      <xdr:nvSpPr>
        <xdr:cNvPr id="3124" name="Object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sp macro="" textlink="">
      <xdr:nvSpPr>
        <xdr:cNvPr id="3125" name="Object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sp macro="" textlink="">
      <xdr:nvSpPr>
        <xdr:cNvPr id="3127" name="Object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sp macro="" textlink="">
      <xdr:nvSpPr>
        <xdr:cNvPr id="3129" name="Object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sp macro="" textlink="">
      <xdr:nvSpPr>
        <xdr:cNvPr id="3131" name="Object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sp macro="" textlink="">
      <xdr:nvSpPr>
        <xdr:cNvPr id="3134" name="Object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sp macro="" textlink="">
      <xdr:nvSpPr>
        <xdr:cNvPr id="3135" name="Object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sp macro="" textlink="">
      <xdr:nvSpPr>
        <xdr:cNvPr id="3141" name="Object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sp macro="" textlink="">
      <xdr:nvSpPr>
        <xdr:cNvPr id="3142" name="Object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sp macro="" textlink="">
      <xdr:nvSpPr>
        <xdr:cNvPr id="3157" name="Object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sp macro="" textlink="">
      <xdr:nvSpPr>
        <xdr:cNvPr id="3158" name="Object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sp macro="" textlink="">
      <xdr:nvSpPr>
        <xdr:cNvPr id="3161" name="Object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sp macro="" textlink="">
      <xdr:nvSpPr>
        <xdr:cNvPr id="3162" name="Object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sp macro="" textlink="">
      <xdr:nvSpPr>
        <xdr:cNvPr id="3167" name="Object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sp macro="" textlink="">
      <xdr:nvSpPr>
        <xdr:cNvPr id="3168" name="Object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sp macro="" textlink="">
      <xdr:nvSpPr>
        <xdr:cNvPr id="3169" name="Object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sp macro="" textlink="">
      <xdr:nvSpPr>
        <xdr:cNvPr id="3173" name="Object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sp macro="" textlink="">
      <xdr:nvSpPr>
        <xdr:cNvPr id="3174" name="Object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sp macro="" textlink="">
      <xdr:nvSpPr>
        <xdr:cNvPr id="3178" name="Object 10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sp macro="" textlink="">
      <xdr:nvSpPr>
        <xdr:cNvPr id="3188" name="Object 11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sp macro="" textlink="">
      <xdr:nvSpPr>
        <xdr:cNvPr id="3192" name="Object 12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sp macro="" textlink="">
      <xdr:nvSpPr>
        <xdr:cNvPr id="3220" name="Object 148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sp macro="" textlink="">
      <xdr:nvSpPr>
        <xdr:cNvPr id="3222" name="Object 150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sp macro="" textlink="">
      <xdr:nvSpPr>
        <xdr:cNvPr id="3223" name="Object 151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sp macro="" textlink="">
      <xdr:nvSpPr>
        <xdr:cNvPr id="3225" name="Object 153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sp macro="" textlink="">
      <xdr:nvSpPr>
        <xdr:cNvPr id="3281" name="Object 209" hidden="1">
          <a:extLst>
            <a:ext uri="{63B3BB69-23CF-44E3-9099-C40C66FF867C}">
              <a14:compatExt xmlns:a14="http://schemas.microsoft.com/office/drawing/2010/main" spid="_x0000_s3281"/>
            </a:ex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3639500"/>
          <a:ext cx="9810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954075"/>
          <a:ext cx="242887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pic>
      <xdr:nvPicPr>
        <xdr:cNvPr id="4" name="Picture 2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2925125"/>
          <a:ext cx="3219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pic>
      <xdr:nvPicPr>
        <xdr:cNvPr id="5" name="Picture 4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830125"/>
          <a:ext cx="195262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pic>
      <xdr:nvPicPr>
        <xdr:cNvPr id="6" name="Picture 4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344350"/>
          <a:ext cx="21907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pic>
      <xdr:nvPicPr>
        <xdr:cNvPr id="7" name="Picture 4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592000"/>
          <a:ext cx="21717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pic>
      <xdr:nvPicPr>
        <xdr:cNvPr id="8" name="Picture 4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554025"/>
          <a:ext cx="298132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pic>
      <xdr:nvPicPr>
        <xdr:cNvPr id="9" name="Picture 4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229925"/>
          <a:ext cx="36480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pic>
      <xdr:nvPicPr>
        <xdr:cNvPr id="10" name="Picture 4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639500"/>
          <a:ext cx="41529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pic>
      <xdr:nvPicPr>
        <xdr:cNvPr id="11" name="Picture 5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991800"/>
          <a:ext cx="9334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pic>
      <xdr:nvPicPr>
        <xdr:cNvPr id="12" name="Picture 5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963600"/>
          <a:ext cx="21812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pic>
      <xdr:nvPicPr>
        <xdr:cNvPr id="13" name="Picture 5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068125"/>
          <a:ext cx="1343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pic>
      <xdr:nvPicPr>
        <xdr:cNvPr id="14" name="Picture 5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753675"/>
          <a:ext cx="42386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pic>
      <xdr:nvPicPr>
        <xdr:cNvPr id="15" name="Picture 57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4049075"/>
          <a:ext cx="212407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pic>
      <xdr:nvPicPr>
        <xdr:cNvPr id="16" name="Picture 5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64896800"/>
          <a:ext cx="249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pic>
      <xdr:nvPicPr>
        <xdr:cNvPr id="17" name="Picture 6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134925"/>
          <a:ext cx="437197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pic>
      <xdr:nvPicPr>
        <xdr:cNvPr id="18" name="Picture 63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64896800"/>
          <a:ext cx="26289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pic>
      <xdr:nvPicPr>
        <xdr:cNvPr id="19" name="Picture 6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172775"/>
          <a:ext cx="327660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pic>
      <xdr:nvPicPr>
        <xdr:cNvPr id="20" name="Picture 7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629975"/>
          <a:ext cx="21145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pic>
      <xdr:nvPicPr>
        <xdr:cNvPr id="21" name="Picture 8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7620950"/>
          <a:ext cx="39147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pic>
      <xdr:nvPicPr>
        <xdr:cNvPr id="22" name="Picture 86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8430575"/>
          <a:ext cx="39814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pic>
      <xdr:nvPicPr>
        <xdr:cNvPr id="23" name="Picture 89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306250"/>
          <a:ext cx="10191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pic>
      <xdr:nvPicPr>
        <xdr:cNvPr id="24" name="Picture 9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3163250"/>
          <a:ext cx="679132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pic>
      <xdr:nvPicPr>
        <xdr:cNvPr id="25" name="Picture 95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868975"/>
          <a:ext cx="42291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pic>
      <xdr:nvPicPr>
        <xdr:cNvPr id="26" name="Picture 9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1678600"/>
          <a:ext cx="49053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pic>
      <xdr:nvPicPr>
        <xdr:cNvPr id="27" name="Picture 9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2488225"/>
          <a:ext cx="56864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pic>
      <xdr:nvPicPr>
        <xdr:cNvPr id="28" name="Picture 10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9249725"/>
          <a:ext cx="52101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pic>
      <xdr:nvPicPr>
        <xdr:cNvPr id="29" name="Picture 10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059350"/>
          <a:ext cx="54483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pic>
      <xdr:nvPicPr>
        <xdr:cNvPr id="30" name="Picture 10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3297850"/>
          <a:ext cx="42957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pic>
      <xdr:nvPicPr>
        <xdr:cNvPr id="31" name="Picture 116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70545125"/>
          <a:ext cx="59055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pic>
      <xdr:nvPicPr>
        <xdr:cNvPr id="32" name="Picture 120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544500"/>
          <a:ext cx="47720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pic>
      <xdr:nvPicPr>
        <xdr:cNvPr id="33" name="Picture 148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706300"/>
          <a:ext cx="24288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pic>
      <xdr:nvPicPr>
        <xdr:cNvPr id="34" name="Picture 150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201475"/>
          <a:ext cx="28670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pic>
      <xdr:nvPicPr>
        <xdr:cNvPr id="35" name="Picture 15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211125"/>
          <a:ext cx="16383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pic>
      <xdr:nvPicPr>
        <xdr:cNvPr id="36" name="Picture 153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715950"/>
          <a:ext cx="23336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pic>
      <xdr:nvPicPr>
        <xdr:cNvPr id="37" name="Picture 20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69735500"/>
          <a:ext cx="73723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2604352" name="Picture 8" descr="logoplasci">
          <a:extLst>
            <a:ext uri="{FF2B5EF4-FFF2-40B4-BE49-F238E27FC236}">
              <a16:creationId xmlns:a16="http://schemas.microsoft.com/office/drawing/2014/main" id="{00000000-0008-0000-0500-000040BD2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65100"/>
          <a:ext cx="984250" cy="63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450850</xdr:colOff>
      <xdr:row>0</xdr:row>
      <xdr:rowOff>120650</xdr:rowOff>
    </xdr:from>
    <xdr:to>
      <xdr:col>12</xdr:col>
      <xdr:colOff>450850</xdr:colOff>
      <xdr:row>17</xdr:row>
      <xdr:rowOff>25400</xdr:rowOff>
    </xdr:to>
    <xdr:graphicFrame macro="">
      <xdr:nvGraphicFramePr>
        <xdr:cNvPr id="2604353" name="Graphique 2">
          <a:extLst>
            <a:ext uri="{FF2B5EF4-FFF2-40B4-BE49-F238E27FC236}">
              <a16:creationId xmlns:a16="http://schemas.microsoft.com/office/drawing/2014/main" id="{00000000-0008-0000-0500-000041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450850</xdr:colOff>
      <xdr:row>17</xdr:row>
      <xdr:rowOff>25400</xdr:rowOff>
    </xdr:from>
    <xdr:to>
      <xdr:col>12</xdr:col>
      <xdr:colOff>450850</xdr:colOff>
      <xdr:row>34</xdr:row>
      <xdr:rowOff>19050</xdr:rowOff>
    </xdr:to>
    <xdr:graphicFrame macro="">
      <xdr:nvGraphicFramePr>
        <xdr:cNvPr id="2604354" name="Graphique 2">
          <a:extLst>
            <a:ext uri="{FF2B5EF4-FFF2-40B4-BE49-F238E27FC236}">
              <a16:creationId xmlns:a16="http://schemas.microsoft.com/office/drawing/2014/main" id="{00000000-0008-0000-0500-000042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17</xdr:row>
      <xdr:rowOff>25400</xdr:rowOff>
    </xdr:from>
    <xdr:to>
      <xdr:col>6</xdr:col>
      <xdr:colOff>450850</xdr:colOff>
      <xdr:row>34</xdr:row>
      <xdr:rowOff>19050</xdr:rowOff>
    </xdr:to>
    <xdr:graphicFrame macro="">
      <xdr:nvGraphicFramePr>
        <xdr:cNvPr id="2604355" name="Graphique 2">
          <a:extLst>
            <a:ext uri="{FF2B5EF4-FFF2-40B4-BE49-F238E27FC236}">
              <a16:creationId xmlns:a16="http://schemas.microsoft.com/office/drawing/2014/main" id="{00000000-0008-0000-0500-000043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604063" name="Spinner 31" hidden="1">
              <a:extLst>
                <a:ext uri="{63B3BB69-23CF-44E3-9099-C40C66FF867C}">
                  <a14:compatExt spid="_x0000_s2604063"/>
                </a:ext>
                <a:ext uri="{FF2B5EF4-FFF2-40B4-BE49-F238E27FC236}">
                  <a16:creationId xmlns:a16="http://schemas.microsoft.com/office/drawing/2014/main" id="{00000000-0008-0000-0500-00001F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sp macro="" textlink="">
      <xdr:nvSpPr>
        <xdr:cNvPr id="2604101" name="Object 69" hidden="1">
          <a:extLst>
            <a:ext uri="{63B3BB69-23CF-44E3-9099-C40C66FF867C}">
              <a14:compatExt xmlns:a14="http://schemas.microsoft.com/office/drawing/2010/main" spid="_x0000_s2604101"/>
            </a:ext>
            <a:ext uri="{FF2B5EF4-FFF2-40B4-BE49-F238E27FC236}">
              <a16:creationId xmlns:a16="http://schemas.microsoft.com/office/drawing/2014/main" id="{00000000-0008-0000-0500-000045BC27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10</xdr:row>
          <xdr:rowOff>9525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604202" name="Spinner 170" hidden="1">
              <a:extLst>
                <a:ext uri="{63B3BB69-23CF-44E3-9099-C40C66FF867C}">
                  <a14:compatExt spid="_x0000_s2604202"/>
                </a:ext>
                <a:ext uri="{FF2B5EF4-FFF2-40B4-BE49-F238E27FC236}">
                  <a16:creationId xmlns:a16="http://schemas.microsoft.com/office/drawing/2014/main" id="{00000000-0008-0000-0500-0000AA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pic>
      <xdr:nvPicPr>
        <xdr:cNvPr id="2" name="Picture 69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11115675"/>
          <a:ext cx="3476625" cy="274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33</xdr:row>
      <xdr:rowOff>25400</xdr:rowOff>
    </xdr:from>
    <xdr:to>
      <xdr:col>2</xdr:col>
      <xdr:colOff>12700</xdr:colOff>
      <xdr:row>44</xdr:row>
      <xdr:rowOff>19050</xdr:rowOff>
    </xdr:to>
    <xdr:pic>
      <xdr:nvPicPr>
        <xdr:cNvPr id="5938" name="Image 1">
          <a:extLst>
            <a:ext uri="{FF2B5EF4-FFF2-40B4-BE49-F238E27FC236}">
              <a16:creationId xmlns:a16="http://schemas.microsoft.com/office/drawing/2014/main" id="{00000000-0008-0000-0600-00003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5295900"/>
          <a:ext cx="1231900" cy="1739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1123950</xdr:colOff>
      <xdr:row>53</xdr:row>
      <xdr:rowOff>44450</xdr:rowOff>
    </xdr:from>
    <xdr:to>
      <xdr:col>10</xdr:col>
      <xdr:colOff>609600</xdr:colOff>
      <xdr:row>81</xdr:row>
      <xdr:rowOff>25400</xdr:rowOff>
    </xdr:to>
    <xdr:pic>
      <xdr:nvPicPr>
        <xdr:cNvPr id="5939" name="Image 2">
          <a:extLst>
            <a:ext uri="{FF2B5EF4-FFF2-40B4-BE49-F238E27FC236}">
              <a16:creationId xmlns:a16="http://schemas.microsoft.com/office/drawing/2014/main" id="{00000000-0008-0000-0600-00003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6350" y="8331200"/>
          <a:ext cx="7099300" cy="442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5940" name="Picture 8" descr="logoplasci">
          <a:extLst>
            <a:ext uri="{FF2B5EF4-FFF2-40B4-BE49-F238E27FC236}">
              <a16:creationId xmlns:a16="http://schemas.microsoft.com/office/drawing/2014/main" id="{00000000-0008-0000-0600-00003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80</xdr:row>
      <xdr:rowOff>12700</xdr:rowOff>
    </xdr:from>
    <xdr:to>
      <xdr:col>8</xdr:col>
      <xdr:colOff>0</xdr:colOff>
      <xdr:row>102</xdr:row>
      <xdr:rowOff>107950</xdr:rowOff>
    </xdr:to>
    <xdr:grpSp>
      <xdr:nvGrpSpPr>
        <xdr:cNvPr id="5501606" name="Group 232">
          <a:extLst>
            <a:ext uri="{FF2B5EF4-FFF2-40B4-BE49-F238E27FC236}">
              <a16:creationId xmlns:a16="http://schemas.microsoft.com/office/drawing/2014/main" id="{00000000-0008-0000-0700-0000A6F25300}"/>
            </a:ext>
          </a:extLst>
        </xdr:cNvPr>
        <xdr:cNvGrpSpPr>
          <a:grpSpLocks/>
        </xdr:cNvGrpSpPr>
      </xdr:nvGrpSpPr>
      <xdr:grpSpPr bwMode="auto">
        <a:xfrm>
          <a:off x="4108450" y="13214350"/>
          <a:ext cx="2139950" cy="3752850"/>
          <a:chOff x="3421" y="5379"/>
          <a:chExt cx="2289" cy="5759"/>
        </a:xfrm>
      </xdr:grpSpPr>
      <xdr:grpSp>
        <xdr:nvGrpSpPr>
          <xdr:cNvPr id="5501710" name="Group 233">
            <a:extLst>
              <a:ext uri="{FF2B5EF4-FFF2-40B4-BE49-F238E27FC236}">
                <a16:creationId xmlns:a16="http://schemas.microsoft.com/office/drawing/2014/main" id="{00000000-0008-0000-0700-00000EF3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28" name="Arc 234">
              <a:extLst>
                <a:ext uri="{FF2B5EF4-FFF2-40B4-BE49-F238E27FC236}">
                  <a16:creationId xmlns:a16="http://schemas.microsoft.com/office/drawing/2014/main" id="{00000000-0008-0000-0700-00002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9" name="Group 235">
              <a:extLst>
                <a:ext uri="{FF2B5EF4-FFF2-40B4-BE49-F238E27FC236}">
                  <a16:creationId xmlns:a16="http://schemas.microsoft.com/office/drawing/2014/main" id="{00000000-0008-0000-0700-00002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30" name="Line 236">
                <a:extLst>
                  <a:ext uri="{FF2B5EF4-FFF2-40B4-BE49-F238E27FC236}">
                    <a16:creationId xmlns:a16="http://schemas.microsoft.com/office/drawing/2014/main" id="{00000000-0008-0000-0700-00002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1" name="Line 237">
                <a:extLst>
                  <a:ext uri="{FF2B5EF4-FFF2-40B4-BE49-F238E27FC236}">
                    <a16:creationId xmlns:a16="http://schemas.microsoft.com/office/drawing/2014/main" id="{00000000-0008-0000-0700-00002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2" name="Line 238">
                <a:extLst>
                  <a:ext uri="{FF2B5EF4-FFF2-40B4-BE49-F238E27FC236}">
                    <a16:creationId xmlns:a16="http://schemas.microsoft.com/office/drawing/2014/main" id="{00000000-0008-0000-0700-00002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3" name="Line 239">
                <a:extLst>
                  <a:ext uri="{FF2B5EF4-FFF2-40B4-BE49-F238E27FC236}">
                    <a16:creationId xmlns:a16="http://schemas.microsoft.com/office/drawing/2014/main" id="{00000000-0008-0000-0700-00002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4" name="Line 240">
                <a:extLst>
                  <a:ext uri="{FF2B5EF4-FFF2-40B4-BE49-F238E27FC236}">
                    <a16:creationId xmlns:a16="http://schemas.microsoft.com/office/drawing/2014/main" id="{00000000-0008-0000-0700-00002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711" name="Group 241">
            <a:extLst>
              <a:ext uri="{FF2B5EF4-FFF2-40B4-BE49-F238E27FC236}">
                <a16:creationId xmlns:a16="http://schemas.microsoft.com/office/drawing/2014/main" id="{00000000-0008-0000-0700-00000FF3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721" name="Arc 242">
              <a:extLst>
                <a:ext uri="{FF2B5EF4-FFF2-40B4-BE49-F238E27FC236}">
                  <a16:creationId xmlns:a16="http://schemas.microsoft.com/office/drawing/2014/main" id="{00000000-0008-0000-0700-000019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2" name="Group 243">
              <a:extLst>
                <a:ext uri="{FF2B5EF4-FFF2-40B4-BE49-F238E27FC236}">
                  <a16:creationId xmlns:a16="http://schemas.microsoft.com/office/drawing/2014/main" id="{00000000-0008-0000-0700-00001A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23" name="Line 244">
                <a:extLst>
                  <a:ext uri="{FF2B5EF4-FFF2-40B4-BE49-F238E27FC236}">
                    <a16:creationId xmlns:a16="http://schemas.microsoft.com/office/drawing/2014/main" id="{00000000-0008-0000-0700-00001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4" name="Line 245">
                <a:extLst>
                  <a:ext uri="{FF2B5EF4-FFF2-40B4-BE49-F238E27FC236}">
                    <a16:creationId xmlns:a16="http://schemas.microsoft.com/office/drawing/2014/main" id="{00000000-0008-0000-0700-00001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5" name="Line 246">
                <a:extLst>
                  <a:ext uri="{FF2B5EF4-FFF2-40B4-BE49-F238E27FC236}">
                    <a16:creationId xmlns:a16="http://schemas.microsoft.com/office/drawing/2014/main" id="{00000000-0008-0000-0700-00001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6" name="Line 247">
                <a:extLst>
                  <a:ext uri="{FF2B5EF4-FFF2-40B4-BE49-F238E27FC236}">
                    <a16:creationId xmlns:a16="http://schemas.microsoft.com/office/drawing/2014/main" id="{00000000-0008-0000-0700-00001E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7" name="Line 248">
                <a:extLst>
                  <a:ext uri="{FF2B5EF4-FFF2-40B4-BE49-F238E27FC236}">
                    <a16:creationId xmlns:a16="http://schemas.microsoft.com/office/drawing/2014/main" id="{00000000-0008-0000-0700-00001F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712" name="Line 249">
            <a:extLst>
              <a:ext uri="{FF2B5EF4-FFF2-40B4-BE49-F238E27FC236}">
                <a16:creationId xmlns:a16="http://schemas.microsoft.com/office/drawing/2014/main" id="{00000000-0008-0000-0700-000010F3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3" name="Line 250">
            <a:extLst>
              <a:ext uri="{FF2B5EF4-FFF2-40B4-BE49-F238E27FC236}">
                <a16:creationId xmlns:a16="http://schemas.microsoft.com/office/drawing/2014/main" id="{00000000-0008-0000-0700-000011F3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4" name="Line 251">
            <a:extLst>
              <a:ext uri="{FF2B5EF4-FFF2-40B4-BE49-F238E27FC236}">
                <a16:creationId xmlns:a16="http://schemas.microsoft.com/office/drawing/2014/main" id="{00000000-0008-0000-0700-000012F3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5" name="Line 252">
            <a:extLst>
              <a:ext uri="{FF2B5EF4-FFF2-40B4-BE49-F238E27FC236}">
                <a16:creationId xmlns:a16="http://schemas.microsoft.com/office/drawing/2014/main" id="{00000000-0008-0000-0700-000013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6" name="Line 253">
            <a:extLst>
              <a:ext uri="{FF2B5EF4-FFF2-40B4-BE49-F238E27FC236}">
                <a16:creationId xmlns:a16="http://schemas.microsoft.com/office/drawing/2014/main" id="{00000000-0008-0000-0700-000014F3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7" name="Line 254">
            <a:extLst>
              <a:ext uri="{FF2B5EF4-FFF2-40B4-BE49-F238E27FC236}">
                <a16:creationId xmlns:a16="http://schemas.microsoft.com/office/drawing/2014/main" id="{00000000-0008-0000-0700-000015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8" name="Line 255">
            <a:extLst>
              <a:ext uri="{FF2B5EF4-FFF2-40B4-BE49-F238E27FC236}">
                <a16:creationId xmlns:a16="http://schemas.microsoft.com/office/drawing/2014/main" id="{00000000-0008-0000-0700-000016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9" name="Line 256">
            <a:extLst>
              <a:ext uri="{FF2B5EF4-FFF2-40B4-BE49-F238E27FC236}">
                <a16:creationId xmlns:a16="http://schemas.microsoft.com/office/drawing/2014/main" id="{00000000-0008-0000-0700-000017F3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20" name="Line 257">
            <a:extLst>
              <a:ext uri="{FF2B5EF4-FFF2-40B4-BE49-F238E27FC236}">
                <a16:creationId xmlns:a16="http://schemas.microsoft.com/office/drawing/2014/main" id="{00000000-0008-0000-0700-000018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825500</xdr:colOff>
      <xdr:row>84</xdr:row>
      <xdr:rowOff>101600</xdr:rowOff>
    </xdr:from>
    <xdr:to>
      <xdr:col>6</xdr:col>
      <xdr:colOff>1543050</xdr:colOff>
      <xdr:row>84</xdr:row>
      <xdr:rowOff>101600</xdr:rowOff>
    </xdr:to>
    <xdr:sp macro="" textlink="">
      <xdr:nvSpPr>
        <xdr:cNvPr id="5501607" name="Line 268">
          <a:extLst>
            <a:ext uri="{FF2B5EF4-FFF2-40B4-BE49-F238E27FC236}">
              <a16:creationId xmlns:a16="http://schemas.microsoft.com/office/drawing/2014/main" id="{00000000-0008-0000-0700-0000A7F25300}"/>
            </a:ext>
          </a:extLst>
        </xdr:cNvPr>
        <xdr:cNvSpPr>
          <a:spLocks noChangeShapeType="1"/>
        </xdr:cNvSpPr>
      </xdr:nvSpPr>
      <xdr:spPr bwMode="auto">
        <a:xfrm flipV="1">
          <a:off x="5105400" y="14128750"/>
          <a:ext cx="7175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8</xdr:col>
      <xdr:colOff>654050</xdr:colOff>
      <xdr:row>80</xdr:row>
      <xdr:rowOff>0</xdr:rowOff>
    </xdr:to>
    <xdr:sp macro="" textlink="">
      <xdr:nvSpPr>
        <xdr:cNvPr id="5501608" name="Line 269">
          <a:extLst>
            <a:ext uri="{FF2B5EF4-FFF2-40B4-BE49-F238E27FC236}">
              <a16:creationId xmlns:a16="http://schemas.microsoft.com/office/drawing/2014/main" id="{00000000-0008-0000-0700-0000A8F25300}"/>
            </a:ext>
          </a:extLst>
        </xdr:cNvPr>
        <xdr:cNvSpPr>
          <a:spLocks noChangeShapeType="1"/>
        </xdr:cNvSpPr>
      </xdr:nvSpPr>
      <xdr:spPr bwMode="auto">
        <a:xfrm flipV="1">
          <a:off x="4432300" y="13354050"/>
          <a:ext cx="2647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228600</xdr:colOff>
      <xdr:row>80</xdr:row>
      <xdr:rowOff>12700</xdr:rowOff>
    </xdr:from>
    <xdr:to>
      <xdr:col>8</xdr:col>
      <xdr:colOff>228600</xdr:colOff>
      <xdr:row>93</xdr:row>
      <xdr:rowOff>82550</xdr:rowOff>
    </xdr:to>
    <xdr:sp macro="" textlink="">
      <xdr:nvSpPr>
        <xdr:cNvPr id="5501609" name="Line 270">
          <a:extLst>
            <a:ext uri="{FF2B5EF4-FFF2-40B4-BE49-F238E27FC236}">
              <a16:creationId xmlns:a16="http://schemas.microsoft.com/office/drawing/2014/main" id="{00000000-0008-0000-0700-0000A9F25300}"/>
            </a:ext>
          </a:extLst>
        </xdr:cNvPr>
        <xdr:cNvSpPr>
          <a:spLocks noChangeShapeType="1"/>
        </xdr:cNvSpPr>
      </xdr:nvSpPr>
      <xdr:spPr bwMode="auto">
        <a:xfrm>
          <a:off x="6838950" y="13366750"/>
          <a:ext cx="0" cy="2209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139700</xdr:colOff>
      <xdr:row>83</xdr:row>
      <xdr:rowOff>50800</xdr:rowOff>
    </xdr:from>
    <xdr:to>
      <xdr:col>6</xdr:col>
      <xdr:colOff>838200</xdr:colOff>
      <xdr:row>83</xdr:row>
      <xdr:rowOff>50800</xdr:rowOff>
    </xdr:to>
    <xdr:sp macro="" textlink="">
      <xdr:nvSpPr>
        <xdr:cNvPr id="5501610" name="Line 271">
          <a:extLst>
            <a:ext uri="{FF2B5EF4-FFF2-40B4-BE49-F238E27FC236}">
              <a16:creationId xmlns:a16="http://schemas.microsoft.com/office/drawing/2014/main" id="{00000000-0008-0000-0700-0000AAF25300}"/>
            </a:ext>
          </a:extLst>
        </xdr:cNvPr>
        <xdr:cNvSpPr>
          <a:spLocks noChangeShapeType="1"/>
        </xdr:cNvSpPr>
      </xdr:nvSpPr>
      <xdr:spPr bwMode="auto">
        <a:xfrm>
          <a:off x="4419600" y="13912850"/>
          <a:ext cx="698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6</xdr:col>
      <xdr:colOff>152400</xdr:colOff>
      <xdr:row>83</xdr:row>
      <xdr:rowOff>50800</xdr:rowOff>
    </xdr:to>
    <xdr:sp macro="" textlink="">
      <xdr:nvSpPr>
        <xdr:cNvPr id="5501611" name="Line 272">
          <a:extLst>
            <a:ext uri="{FF2B5EF4-FFF2-40B4-BE49-F238E27FC236}">
              <a16:creationId xmlns:a16="http://schemas.microsoft.com/office/drawing/2014/main" id="{00000000-0008-0000-0700-0000ABF25300}"/>
            </a:ext>
          </a:extLst>
        </xdr:cNvPr>
        <xdr:cNvSpPr>
          <a:spLocks noChangeShapeType="1"/>
        </xdr:cNvSpPr>
      </xdr:nvSpPr>
      <xdr:spPr bwMode="auto">
        <a:xfrm>
          <a:off x="4432300" y="13354050"/>
          <a:ext cx="0" cy="558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7</xdr:col>
      <xdr:colOff>787400</xdr:colOff>
      <xdr:row>102</xdr:row>
      <xdr:rowOff>95250</xdr:rowOff>
    </xdr:from>
    <xdr:to>
      <xdr:col>8</xdr:col>
      <xdr:colOff>552450</xdr:colOff>
      <xdr:row>102</xdr:row>
      <xdr:rowOff>95250</xdr:rowOff>
    </xdr:to>
    <xdr:sp macro="" textlink="">
      <xdr:nvSpPr>
        <xdr:cNvPr id="5501612" name="Line 277">
          <a:extLst>
            <a:ext uri="{FF2B5EF4-FFF2-40B4-BE49-F238E27FC236}">
              <a16:creationId xmlns:a16="http://schemas.microsoft.com/office/drawing/2014/main" id="{00000000-0008-0000-0700-0000ACF25300}"/>
            </a:ext>
          </a:extLst>
        </xdr:cNvPr>
        <xdr:cNvSpPr>
          <a:spLocks noChangeShapeType="1"/>
        </xdr:cNvSpPr>
      </xdr:nvSpPr>
      <xdr:spPr bwMode="auto">
        <a:xfrm>
          <a:off x="6610350" y="17068800"/>
          <a:ext cx="469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12700</xdr:colOff>
      <xdr:row>98</xdr:row>
      <xdr:rowOff>133350</xdr:rowOff>
    </xdr:from>
    <xdr:to>
      <xdr:col>8</xdr:col>
      <xdr:colOff>469900</xdr:colOff>
      <xdr:row>98</xdr:row>
      <xdr:rowOff>133350</xdr:rowOff>
    </xdr:to>
    <xdr:sp macro="" textlink="">
      <xdr:nvSpPr>
        <xdr:cNvPr id="5501613" name="Line 278">
          <a:extLst>
            <a:ext uri="{FF2B5EF4-FFF2-40B4-BE49-F238E27FC236}">
              <a16:creationId xmlns:a16="http://schemas.microsoft.com/office/drawing/2014/main" id="{00000000-0008-0000-0700-0000ADF25300}"/>
            </a:ext>
          </a:extLst>
        </xdr:cNvPr>
        <xdr:cNvSpPr>
          <a:spLocks noChangeShapeType="1"/>
        </xdr:cNvSpPr>
      </xdr:nvSpPr>
      <xdr:spPr bwMode="auto">
        <a:xfrm>
          <a:off x="6623050" y="16440150"/>
          <a:ext cx="457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8</xdr:col>
      <xdr:colOff>552450</xdr:colOff>
      <xdr:row>93</xdr:row>
      <xdr:rowOff>76200</xdr:rowOff>
    </xdr:to>
    <xdr:sp macro="" textlink="">
      <xdr:nvSpPr>
        <xdr:cNvPr id="5501614" name="Line 279">
          <a:extLst>
            <a:ext uri="{FF2B5EF4-FFF2-40B4-BE49-F238E27FC236}">
              <a16:creationId xmlns:a16="http://schemas.microsoft.com/office/drawing/2014/main" id="{00000000-0008-0000-0700-0000AEF25300}"/>
            </a:ext>
          </a:extLst>
        </xdr:cNvPr>
        <xdr:cNvSpPr>
          <a:spLocks noChangeShapeType="1"/>
        </xdr:cNvSpPr>
      </xdr:nvSpPr>
      <xdr:spPr bwMode="auto">
        <a:xfrm flipV="1">
          <a:off x="4756150" y="15570200"/>
          <a:ext cx="2324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99</xdr:row>
      <xdr:rowOff>152400</xdr:rowOff>
    </xdr:from>
    <xdr:to>
      <xdr:col>6</xdr:col>
      <xdr:colOff>1428750</xdr:colOff>
      <xdr:row>99</xdr:row>
      <xdr:rowOff>152400</xdr:rowOff>
    </xdr:to>
    <xdr:sp macro="" textlink="">
      <xdr:nvSpPr>
        <xdr:cNvPr id="5501615" name="Line 280">
          <a:extLst>
            <a:ext uri="{FF2B5EF4-FFF2-40B4-BE49-F238E27FC236}">
              <a16:creationId xmlns:a16="http://schemas.microsoft.com/office/drawing/2014/main" id="{00000000-0008-0000-0700-0000AFF25300}"/>
            </a:ext>
          </a:extLst>
        </xdr:cNvPr>
        <xdr:cNvSpPr>
          <a:spLocks noChangeShapeType="1"/>
        </xdr:cNvSpPr>
      </xdr:nvSpPr>
      <xdr:spPr bwMode="auto">
        <a:xfrm flipV="1">
          <a:off x="4756150" y="16617950"/>
          <a:ext cx="952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6</xdr:col>
      <xdr:colOff>476250</xdr:colOff>
      <xdr:row>100</xdr:row>
      <xdr:rowOff>0</xdr:rowOff>
    </xdr:to>
    <xdr:sp macro="" textlink="">
      <xdr:nvSpPr>
        <xdr:cNvPr id="5501616" name="Line 281">
          <a:extLst>
            <a:ext uri="{FF2B5EF4-FFF2-40B4-BE49-F238E27FC236}">
              <a16:creationId xmlns:a16="http://schemas.microsoft.com/office/drawing/2014/main" id="{00000000-0008-0000-0700-0000B0F25300}"/>
            </a:ext>
          </a:extLst>
        </xdr:cNvPr>
        <xdr:cNvSpPr>
          <a:spLocks noChangeShapeType="1"/>
        </xdr:cNvSpPr>
      </xdr:nvSpPr>
      <xdr:spPr bwMode="auto">
        <a:xfrm>
          <a:off x="4756150" y="15570200"/>
          <a:ext cx="0" cy="1066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98</xdr:row>
      <xdr:rowOff>133350</xdr:rowOff>
    </xdr:from>
    <xdr:to>
      <xdr:col>8</xdr:col>
      <xdr:colOff>488950</xdr:colOff>
      <xdr:row>102</xdr:row>
      <xdr:rowOff>95250</xdr:rowOff>
    </xdr:to>
    <xdr:sp macro="" textlink="">
      <xdr:nvSpPr>
        <xdr:cNvPr id="5501617" name="Line 282">
          <a:extLst>
            <a:ext uri="{FF2B5EF4-FFF2-40B4-BE49-F238E27FC236}">
              <a16:creationId xmlns:a16="http://schemas.microsoft.com/office/drawing/2014/main" id="{00000000-0008-0000-0700-0000B1F25300}"/>
            </a:ext>
          </a:extLst>
        </xdr:cNvPr>
        <xdr:cNvSpPr>
          <a:spLocks noChangeShapeType="1"/>
        </xdr:cNvSpPr>
      </xdr:nvSpPr>
      <xdr:spPr bwMode="auto">
        <a:xfrm>
          <a:off x="7080250" y="16440150"/>
          <a:ext cx="0" cy="628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93</xdr:row>
      <xdr:rowOff>63500</xdr:rowOff>
    </xdr:from>
    <xdr:to>
      <xdr:col>8</xdr:col>
      <xdr:colOff>488950</xdr:colOff>
      <xdr:row>98</xdr:row>
      <xdr:rowOff>133350</xdr:rowOff>
    </xdr:to>
    <xdr:sp macro="" textlink="">
      <xdr:nvSpPr>
        <xdr:cNvPr id="5501618" name="Line 283">
          <a:extLst>
            <a:ext uri="{FF2B5EF4-FFF2-40B4-BE49-F238E27FC236}">
              <a16:creationId xmlns:a16="http://schemas.microsoft.com/office/drawing/2014/main" id="{00000000-0008-0000-0700-0000B2F25300}"/>
            </a:ext>
          </a:extLst>
        </xdr:cNvPr>
        <xdr:cNvSpPr>
          <a:spLocks noChangeShapeType="1"/>
        </xdr:cNvSpPr>
      </xdr:nvSpPr>
      <xdr:spPr bwMode="auto">
        <a:xfrm>
          <a:off x="7080250" y="15557500"/>
          <a:ext cx="0" cy="882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0</xdr:colOff>
      <xdr:row>102</xdr:row>
      <xdr:rowOff>95250</xdr:rowOff>
    </xdr:from>
    <xdr:to>
      <xdr:col>8</xdr:col>
      <xdr:colOff>0</xdr:colOff>
      <xdr:row>103</xdr:row>
      <xdr:rowOff>0</xdr:rowOff>
    </xdr:to>
    <xdr:sp macro="" textlink="">
      <xdr:nvSpPr>
        <xdr:cNvPr id="5501619" name="Line 284">
          <a:extLst>
            <a:ext uri="{FF2B5EF4-FFF2-40B4-BE49-F238E27FC236}">
              <a16:creationId xmlns:a16="http://schemas.microsoft.com/office/drawing/2014/main" id="{00000000-0008-0000-0700-0000B3F25300}"/>
            </a:ext>
          </a:extLst>
        </xdr:cNvPr>
        <xdr:cNvSpPr>
          <a:spLocks noChangeShapeType="1"/>
        </xdr:cNvSpPr>
      </xdr:nvSpPr>
      <xdr:spPr bwMode="auto">
        <a:xfrm flipV="1">
          <a:off x="6610350" y="17068800"/>
          <a:ext cx="0" cy="698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1428750</xdr:colOff>
      <xdr:row>99</xdr:row>
      <xdr:rowOff>139700</xdr:rowOff>
    </xdr:from>
    <xdr:to>
      <xdr:col>6</xdr:col>
      <xdr:colOff>1428750</xdr:colOff>
      <xdr:row>103</xdr:row>
      <xdr:rowOff>0</xdr:rowOff>
    </xdr:to>
    <xdr:sp macro="" textlink="">
      <xdr:nvSpPr>
        <xdr:cNvPr id="5501620" name="Line 285">
          <a:extLst>
            <a:ext uri="{FF2B5EF4-FFF2-40B4-BE49-F238E27FC236}">
              <a16:creationId xmlns:a16="http://schemas.microsoft.com/office/drawing/2014/main" id="{00000000-0008-0000-0700-0000B4F25300}"/>
            </a:ext>
          </a:extLst>
        </xdr:cNvPr>
        <xdr:cNvSpPr>
          <a:spLocks noChangeShapeType="1"/>
        </xdr:cNvSpPr>
      </xdr:nvSpPr>
      <xdr:spPr bwMode="auto">
        <a:xfrm flipH="1" flipV="1">
          <a:off x="5708650" y="16605250"/>
          <a:ext cx="0" cy="5334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1422400</xdr:colOff>
      <xdr:row>103</xdr:row>
      <xdr:rowOff>0</xdr:rowOff>
    </xdr:from>
    <xdr:to>
      <xdr:col>8</xdr:col>
      <xdr:colOff>0</xdr:colOff>
      <xdr:row>103</xdr:row>
      <xdr:rowOff>0</xdr:rowOff>
    </xdr:to>
    <xdr:sp macro="" textlink="">
      <xdr:nvSpPr>
        <xdr:cNvPr id="5501621" name="Line 286">
          <a:extLst>
            <a:ext uri="{FF2B5EF4-FFF2-40B4-BE49-F238E27FC236}">
              <a16:creationId xmlns:a16="http://schemas.microsoft.com/office/drawing/2014/main" id="{00000000-0008-0000-0700-0000B5F25300}"/>
            </a:ext>
          </a:extLst>
        </xdr:cNvPr>
        <xdr:cNvSpPr>
          <a:spLocks noChangeShapeType="1"/>
        </xdr:cNvSpPr>
      </xdr:nvSpPr>
      <xdr:spPr bwMode="auto">
        <a:xfrm>
          <a:off x="5702300" y="17138650"/>
          <a:ext cx="9080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685800</xdr:colOff>
      <xdr:row>89</xdr:row>
      <xdr:rowOff>69850</xdr:rowOff>
    </xdr:from>
    <xdr:to>
      <xdr:col>6</xdr:col>
      <xdr:colOff>1695450</xdr:colOff>
      <xdr:row>89</xdr:row>
      <xdr:rowOff>69850</xdr:rowOff>
    </xdr:to>
    <xdr:sp macro="" textlink="">
      <xdr:nvSpPr>
        <xdr:cNvPr id="5501622" name="Line 287">
          <a:extLst>
            <a:ext uri="{FF2B5EF4-FFF2-40B4-BE49-F238E27FC236}">
              <a16:creationId xmlns:a16="http://schemas.microsoft.com/office/drawing/2014/main" id="{00000000-0008-0000-0700-0000B6F25300}"/>
            </a:ext>
          </a:extLst>
        </xdr:cNvPr>
        <xdr:cNvSpPr>
          <a:spLocks noChangeShapeType="1"/>
        </xdr:cNvSpPr>
      </xdr:nvSpPr>
      <xdr:spPr bwMode="auto">
        <a:xfrm>
          <a:off x="4965700" y="14916150"/>
          <a:ext cx="10096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990600</xdr:colOff>
      <xdr:row>93</xdr:row>
      <xdr:rowOff>25400</xdr:rowOff>
    </xdr:from>
    <xdr:to>
      <xdr:col>6</xdr:col>
      <xdr:colOff>1397000</xdr:colOff>
      <xdr:row>93</xdr:row>
      <xdr:rowOff>25400</xdr:rowOff>
    </xdr:to>
    <xdr:sp macro="" textlink="">
      <xdr:nvSpPr>
        <xdr:cNvPr id="5501623" name="Line 288">
          <a:extLst>
            <a:ext uri="{FF2B5EF4-FFF2-40B4-BE49-F238E27FC236}">
              <a16:creationId xmlns:a16="http://schemas.microsoft.com/office/drawing/2014/main" id="{00000000-0008-0000-0700-0000B7F25300}"/>
            </a:ext>
          </a:extLst>
        </xdr:cNvPr>
        <xdr:cNvSpPr>
          <a:spLocks noChangeShapeType="1"/>
        </xdr:cNvSpPr>
      </xdr:nvSpPr>
      <xdr:spPr bwMode="auto">
        <a:xfrm>
          <a:off x="5270500" y="15519400"/>
          <a:ext cx="4064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850900</xdr:colOff>
      <xdr:row>87</xdr:row>
      <xdr:rowOff>57150</xdr:rowOff>
    </xdr:from>
    <xdr:to>
      <xdr:col>8</xdr:col>
      <xdr:colOff>44450</xdr:colOff>
      <xdr:row>87</xdr:row>
      <xdr:rowOff>57150</xdr:rowOff>
    </xdr:to>
    <xdr:sp macro="" textlink="">
      <xdr:nvSpPr>
        <xdr:cNvPr id="5501624" name="Line 289">
          <a:extLst>
            <a:ext uri="{FF2B5EF4-FFF2-40B4-BE49-F238E27FC236}">
              <a16:creationId xmlns:a16="http://schemas.microsoft.com/office/drawing/2014/main" id="{00000000-0008-0000-0700-0000B8F25300}"/>
            </a:ext>
          </a:extLst>
        </xdr:cNvPr>
        <xdr:cNvSpPr>
          <a:spLocks noChangeShapeType="1"/>
        </xdr:cNvSpPr>
      </xdr:nvSpPr>
      <xdr:spPr bwMode="auto">
        <a:xfrm>
          <a:off x="5130800" y="14579600"/>
          <a:ext cx="1524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88</xdr:row>
      <xdr:rowOff>57150</xdr:rowOff>
    </xdr:from>
    <xdr:to>
      <xdr:col>8</xdr:col>
      <xdr:colOff>57150</xdr:colOff>
      <xdr:row>88</xdr:row>
      <xdr:rowOff>57150</xdr:rowOff>
    </xdr:to>
    <xdr:sp macro="" textlink="">
      <xdr:nvSpPr>
        <xdr:cNvPr id="5501625" name="Line 290">
          <a:extLst>
            <a:ext uri="{FF2B5EF4-FFF2-40B4-BE49-F238E27FC236}">
              <a16:creationId xmlns:a16="http://schemas.microsoft.com/office/drawing/2014/main" id="{00000000-0008-0000-0700-0000B9F25300}"/>
            </a:ext>
          </a:extLst>
        </xdr:cNvPr>
        <xdr:cNvSpPr>
          <a:spLocks noChangeShapeType="1"/>
        </xdr:cNvSpPr>
      </xdr:nvSpPr>
      <xdr:spPr bwMode="auto">
        <a:xfrm>
          <a:off x="4978400" y="14738350"/>
          <a:ext cx="16891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90</xdr:row>
      <xdr:rowOff>139700</xdr:rowOff>
    </xdr:from>
    <xdr:to>
      <xdr:col>8</xdr:col>
      <xdr:colOff>69850</xdr:colOff>
      <xdr:row>90</xdr:row>
      <xdr:rowOff>139700</xdr:rowOff>
    </xdr:to>
    <xdr:sp macro="" textlink="">
      <xdr:nvSpPr>
        <xdr:cNvPr id="5501626" name="Line 291">
          <a:extLst>
            <a:ext uri="{FF2B5EF4-FFF2-40B4-BE49-F238E27FC236}">
              <a16:creationId xmlns:a16="http://schemas.microsoft.com/office/drawing/2014/main" id="{00000000-0008-0000-0700-0000BAF25300}"/>
            </a:ext>
          </a:extLst>
        </xdr:cNvPr>
        <xdr:cNvSpPr>
          <a:spLocks noChangeShapeType="1"/>
        </xdr:cNvSpPr>
      </xdr:nvSpPr>
      <xdr:spPr bwMode="auto">
        <a:xfrm>
          <a:off x="4978400" y="15157450"/>
          <a:ext cx="17018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977900</xdr:colOff>
      <xdr:row>92</xdr:row>
      <xdr:rowOff>44450</xdr:rowOff>
    </xdr:from>
    <xdr:to>
      <xdr:col>8</xdr:col>
      <xdr:colOff>44450</xdr:colOff>
      <xdr:row>92</xdr:row>
      <xdr:rowOff>44450</xdr:rowOff>
    </xdr:to>
    <xdr:sp macro="" textlink="">
      <xdr:nvSpPr>
        <xdr:cNvPr id="5501627" name="Line 292">
          <a:extLst>
            <a:ext uri="{FF2B5EF4-FFF2-40B4-BE49-F238E27FC236}">
              <a16:creationId xmlns:a16="http://schemas.microsoft.com/office/drawing/2014/main" id="{00000000-0008-0000-0700-0000BBF25300}"/>
            </a:ext>
          </a:extLst>
        </xdr:cNvPr>
        <xdr:cNvSpPr>
          <a:spLocks noChangeShapeType="1"/>
        </xdr:cNvSpPr>
      </xdr:nvSpPr>
      <xdr:spPr bwMode="auto">
        <a:xfrm>
          <a:off x="5257800" y="15379700"/>
          <a:ext cx="1397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1790700</xdr:colOff>
      <xdr:row>80</xdr:row>
      <xdr:rowOff>0</xdr:rowOff>
    </xdr:from>
    <xdr:to>
      <xdr:col>6</xdr:col>
      <xdr:colOff>1790700</xdr:colOff>
      <xdr:row>87</xdr:row>
      <xdr:rowOff>63500</xdr:rowOff>
    </xdr:to>
    <xdr:sp macro="" textlink="">
      <xdr:nvSpPr>
        <xdr:cNvPr id="5501628" name="Line 293">
          <a:extLst>
            <a:ext uri="{FF2B5EF4-FFF2-40B4-BE49-F238E27FC236}">
              <a16:creationId xmlns:a16="http://schemas.microsoft.com/office/drawing/2014/main" id="{00000000-0008-0000-0700-0000BCF25300}"/>
            </a:ext>
          </a:extLst>
        </xdr:cNvPr>
        <xdr:cNvSpPr>
          <a:spLocks noChangeShapeType="1"/>
        </xdr:cNvSpPr>
      </xdr:nvSpPr>
      <xdr:spPr bwMode="auto">
        <a:xfrm>
          <a:off x="6070600" y="13354050"/>
          <a:ext cx="0" cy="12319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7</xdr:col>
      <xdr:colOff>190500</xdr:colOff>
      <xdr:row>80</xdr:row>
      <xdr:rowOff>0</xdr:rowOff>
    </xdr:from>
    <xdr:to>
      <xdr:col>7</xdr:col>
      <xdr:colOff>190500</xdr:colOff>
      <xdr:row>90</xdr:row>
      <xdr:rowOff>133350</xdr:rowOff>
    </xdr:to>
    <xdr:sp macro="" textlink="">
      <xdr:nvSpPr>
        <xdr:cNvPr id="5501629" name="Line 294">
          <a:extLst>
            <a:ext uri="{FF2B5EF4-FFF2-40B4-BE49-F238E27FC236}">
              <a16:creationId xmlns:a16="http://schemas.microsoft.com/office/drawing/2014/main" id="{00000000-0008-0000-0700-0000BDF25300}"/>
            </a:ext>
          </a:extLst>
        </xdr:cNvPr>
        <xdr:cNvSpPr>
          <a:spLocks noChangeShapeType="1"/>
        </xdr:cNvSpPr>
      </xdr:nvSpPr>
      <xdr:spPr bwMode="auto">
        <a:xfrm>
          <a:off x="6330950" y="13354050"/>
          <a:ext cx="0" cy="17970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87</xdr:row>
      <xdr:rowOff>57150</xdr:rowOff>
    </xdr:from>
    <xdr:to>
      <xdr:col>8</xdr:col>
      <xdr:colOff>44450</xdr:colOff>
      <xdr:row>88</xdr:row>
      <xdr:rowOff>57150</xdr:rowOff>
    </xdr:to>
    <xdr:sp macro="" textlink="">
      <xdr:nvSpPr>
        <xdr:cNvPr id="5501630" name="Line 295">
          <a:extLst>
            <a:ext uri="{FF2B5EF4-FFF2-40B4-BE49-F238E27FC236}">
              <a16:creationId xmlns:a16="http://schemas.microsoft.com/office/drawing/2014/main" id="{00000000-0008-0000-0700-0000BEF25300}"/>
            </a:ext>
          </a:extLst>
        </xdr:cNvPr>
        <xdr:cNvSpPr>
          <a:spLocks noChangeShapeType="1"/>
        </xdr:cNvSpPr>
      </xdr:nvSpPr>
      <xdr:spPr bwMode="auto">
        <a:xfrm>
          <a:off x="6654800" y="14579600"/>
          <a:ext cx="0" cy="15875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90</xdr:row>
      <xdr:rowOff>139700</xdr:rowOff>
    </xdr:from>
    <xdr:to>
      <xdr:col>8</xdr:col>
      <xdr:colOff>44450</xdr:colOff>
      <xdr:row>92</xdr:row>
      <xdr:rowOff>44450</xdr:rowOff>
    </xdr:to>
    <xdr:sp macro="" textlink="">
      <xdr:nvSpPr>
        <xdr:cNvPr id="5501631" name="Line 296">
          <a:extLst>
            <a:ext uri="{FF2B5EF4-FFF2-40B4-BE49-F238E27FC236}">
              <a16:creationId xmlns:a16="http://schemas.microsoft.com/office/drawing/2014/main" id="{00000000-0008-0000-0700-0000BFF25300}"/>
            </a:ext>
          </a:extLst>
        </xdr:cNvPr>
        <xdr:cNvSpPr>
          <a:spLocks noChangeShapeType="1"/>
        </xdr:cNvSpPr>
      </xdr:nvSpPr>
      <xdr:spPr bwMode="auto">
        <a:xfrm>
          <a:off x="6654800" y="15157450"/>
          <a:ext cx="0" cy="2222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0</xdr:colOff>
      <xdr:row>84</xdr:row>
      <xdr:rowOff>101600</xdr:rowOff>
    </xdr:from>
    <xdr:to>
      <xdr:col>6</xdr:col>
      <xdr:colOff>838200</xdr:colOff>
      <xdr:row>84</xdr:row>
      <xdr:rowOff>101600</xdr:rowOff>
    </xdr:to>
    <xdr:sp macro="" textlink="">
      <xdr:nvSpPr>
        <xdr:cNvPr id="5501632" name="Line 297">
          <a:extLst>
            <a:ext uri="{FF2B5EF4-FFF2-40B4-BE49-F238E27FC236}">
              <a16:creationId xmlns:a16="http://schemas.microsoft.com/office/drawing/2014/main" id="{00000000-0008-0000-0700-0000C0F25300}"/>
            </a:ext>
          </a:extLst>
        </xdr:cNvPr>
        <xdr:cNvSpPr>
          <a:spLocks noChangeShapeType="1"/>
        </xdr:cNvSpPr>
      </xdr:nvSpPr>
      <xdr:spPr bwMode="auto">
        <a:xfrm>
          <a:off x="4279900" y="1412875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89</xdr:row>
      <xdr:rowOff>69850</xdr:rowOff>
    </xdr:from>
    <xdr:to>
      <xdr:col>6</xdr:col>
      <xdr:colOff>685800</xdr:colOff>
      <xdr:row>89</xdr:row>
      <xdr:rowOff>69850</xdr:rowOff>
    </xdr:to>
    <xdr:sp macro="" textlink="">
      <xdr:nvSpPr>
        <xdr:cNvPr id="5501633" name="Line 298">
          <a:extLst>
            <a:ext uri="{FF2B5EF4-FFF2-40B4-BE49-F238E27FC236}">
              <a16:creationId xmlns:a16="http://schemas.microsoft.com/office/drawing/2014/main" id="{00000000-0008-0000-0700-0000C1F25300}"/>
            </a:ext>
          </a:extLst>
        </xdr:cNvPr>
        <xdr:cNvSpPr>
          <a:spLocks noChangeShapeType="1"/>
        </xdr:cNvSpPr>
      </xdr:nvSpPr>
      <xdr:spPr bwMode="auto">
        <a:xfrm>
          <a:off x="4279900" y="14916150"/>
          <a:ext cx="6858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93</xdr:row>
      <xdr:rowOff>25400</xdr:rowOff>
    </xdr:from>
    <xdr:to>
      <xdr:col>6</xdr:col>
      <xdr:colOff>971550</xdr:colOff>
      <xdr:row>93</xdr:row>
      <xdr:rowOff>25400</xdr:rowOff>
    </xdr:to>
    <xdr:sp macro="" textlink="">
      <xdr:nvSpPr>
        <xdr:cNvPr id="5501634" name="Line 299">
          <a:extLst>
            <a:ext uri="{FF2B5EF4-FFF2-40B4-BE49-F238E27FC236}">
              <a16:creationId xmlns:a16="http://schemas.microsoft.com/office/drawing/2014/main" id="{00000000-0008-0000-0700-0000C2F25300}"/>
            </a:ext>
          </a:extLst>
        </xdr:cNvPr>
        <xdr:cNvSpPr>
          <a:spLocks noChangeShapeType="1"/>
        </xdr:cNvSpPr>
      </xdr:nvSpPr>
      <xdr:spPr bwMode="auto">
        <a:xfrm>
          <a:off x="4279900" y="15519400"/>
          <a:ext cx="9715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96</xdr:row>
      <xdr:rowOff>76200</xdr:rowOff>
    </xdr:from>
    <xdr:to>
      <xdr:col>6</xdr:col>
      <xdr:colOff>476250</xdr:colOff>
      <xdr:row>96</xdr:row>
      <xdr:rowOff>76200</xdr:rowOff>
    </xdr:to>
    <xdr:sp macro="" textlink="">
      <xdr:nvSpPr>
        <xdr:cNvPr id="5501635" name="Line 300">
          <a:extLst>
            <a:ext uri="{FF2B5EF4-FFF2-40B4-BE49-F238E27FC236}">
              <a16:creationId xmlns:a16="http://schemas.microsoft.com/office/drawing/2014/main" id="{00000000-0008-0000-0700-0000C3F25300}"/>
            </a:ext>
          </a:extLst>
        </xdr:cNvPr>
        <xdr:cNvSpPr>
          <a:spLocks noChangeShapeType="1"/>
        </xdr:cNvSpPr>
      </xdr:nvSpPr>
      <xdr:spPr bwMode="auto">
        <a:xfrm>
          <a:off x="4279900" y="16052800"/>
          <a:ext cx="476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152400</xdr:colOff>
      <xdr:row>103</xdr:row>
      <xdr:rowOff>0</xdr:rowOff>
    </xdr:from>
    <xdr:to>
      <xdr:col>7</xdr:col>
      <xdr:colOff>152400</xdr:colOff>
      <xdr:row>104</xdr:row>
      <xdr:rowOff>12700</xdr:rowOff>
    </xdr:to>
    <xdr:sp macro="" textlink="">
      <xdr:nvSpPr>
        <xdr:cNvPr id="5501636" name="Line 301">
          <a:extLst>
            <a:ext uri="{FF2B5EF4-FFF2-40B4-BE49-F238E27FC236}">
              <a16:creationId xmlns:a16="http://schemas.microsoft.com/office/drawing/2014/main" id="{00000000-0008-0000-0700-0000C4F25300}"/>
            </a:ext>
          </a:extLst>
        </xdr:cNvPr>
        <xdr:cNvSpPr>
          <a:spLocks noChangeShapeType="1"/>
        </xdr:cNvSpPr>
      </xdr:nvSpPr>
      <xdr:spPr bwMode="auto">
        <a:xfrm>
          <a:off x="6292850" y="17138650"/>
          <a:ext cx="0" cy="184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81</xdr:row>
      <xdr:rowOff>76200</xdr:rowOff>
    </xdr:from>
    <xdr:to>
      <xdr:col>6</xdr:col>
      <xdr:colOff>152400</xdr:colOff>
      <xdr:row>81</xdr:row>
      <xdr:rowOff>76200</xdr:rowOff>
    </xdr:to>
    <xdr:sp macro="" textlink="">
      <xdr:nvSpPr>
        <xdr:cNvPr id="5501637" name="Line 302">
          <a:extLst>
            <a:ext uri="{FF2B5EF4-FFF2-40B4-BE49-F238E27FC236}">
              <a16:creationId xmlns:a16="http://schemas.microsoft.com/office/drawing/2014/main" id="{00000000-0008-0000-0700-0000C5F25300}"/>
            </a:ext>
          </a:extLst>
        </xdr:cNvPr>
        <xdr:cNvSpPr>
          <a:spLocks noChangeShapeType="1"/>
        </xdr:cNvSpPr>
      </xdr:nvSpPr>
      <xdr:spPr bwMode="auto">
        <a:xfrm>
          <a:off x="4279900" y="136017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1778000</xdr:colOff>
      <xdr:row>83</xdr:row>
      <xdr:rowOff>82550</xdr:rowOff>
    </xdr:from>
    <xdr:to>
      <xdr:col>9</xdr:col>
      <xdr:colOff>0</xdr:colOff>
      <xdr:row>83</xdr:row>
      <xdr:rowOff>82550</xdr:rowOff>
    </xdr:to>
    <xdr:sp macro="" textlink="">
      <xdr:nvSpPr>
        <xdr:cNvPr id="5501638" name="Line 303">
          <a:extLst>
            <a:ext uri="{FF2B5EF4-FFF2-40B4-BE49-F238E27FC236}">
              <a16:creationId xmlns:a16="http://schemas.microsoft.com/office/drawing/2014/main" id="{00000000-0008-0000-0700-0000C6F25300}"/>
            </a:ext>
          </a:extLst>
        </xdr:cNvPr>
        <xdr:cNvSpPr>
          <a:spLocks noChangeShapeType="1"/>
        </xdr:cNvSpPr>
      </xdr:nvSpPr>
      <xdr:spPr bwMode="auto">
        <a:xfrm flipV="1">
          <a:off x="6057900" y="13944600"/>
          <a:ext cx="1022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190500</xdr:colOff>
      <xdr:row>85</xdr:row>
      <xdr:rowOff>76200</xdr:rowOff>
    </xdr:from>
    <xdr:to>
      <xdr:col>9</xdr:col>
      <xdr:colOff>0</xdr:colOff>
      <xdr:row>85</xdr:row>
      <xdr:rowOff>76200</xdr:rowOff>
    </xdr:to>
    <xdr:sp macro="" textlink="">
      <xdr:nvSpPr>
        <xdr:cNvPr id="5501639" name="Line 304">
          <a:extLst>
            <a:ext uri="{FF2B5EF4-FFF2-40B4-BE49-F238E27FC236}">
              <a16:creationId xmlns:a16="http://schemas.microsoft.com/office/drawing/2014/main" id="{00000000-0008-0000-0700-0000C7F25300}"/>
            </a:ext>
          </a:extLst>
        </xdr:cNvPr>
        <xdr:cNvSpPr>
          <a:spLocks noChangeShapeType="1"/>
        </xdr:cNvSpPr>
      </xdr:nvSpPr>
      <xdr:spPr bwMode="auto">
        <a:xfrm flipV="1">
          <a:off x="6330950" y="142748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44450</xdr:colOff>
      <xdr:row>87</xdr:row>
      <xdr:rowOff>133350</xdr:rowOff>
    </xdr:from>
    <xdr:to>
      <xdr:col>9</xdr:col>
      <xdr:colOff>0</xdr:colOff>
      <xdr:row>87</xdr:row>
      <xdr:rowOff>133350</xdr:rowOff>
    </xdr:to>
    <xdr:sp macro="" textlink="">
      <xdr:nvSpPr>
        <xdr:cNvPr id="5501640" name="Line 305">
          <a:extLst>
            <a:ext uri="{FF2B5EF4-FFF2-40B4-BE49-F238E27FC236}">
              <a16:creationId xmlns:a16="http://schemas.microsoft.com/office/drawing/2014/main" id="{00000000-0008-0000-0700-0000C8F25300}"/>
            </a:ext>
          </a:extLst>
        </xdr:cNvPr>
        <xdr:cNvSpPr>
          <a:spLocks noChangeShapeType="1"/>
        </xdr:cNvSpPr>
      </xdr:nvSpPr>
      <xdr:spPr bwMode="auto">
        <a:xfrm flipV="1">
          <a:off x="6654800" y="14655800"/>
          <a:ext cx="425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488950</xdr:colOff>
      <xdr:row>89</xdr:row>
      <xdr:rowOff>88900</xdr:rowOff>
    </xdr:from>
    <xdr:to>
      <xdr:col>9</xdr:col>
      <xdr:colOff>0</xdr:colOff>
      <xdr:row>89</xdr:row>
      <xdr:rowOff>88900</xdr:rowOff>
    </xdr:to>
    <xdr:sp macro="" textlink="">
      <xdr:nvSpPr>
        <xdr:cNvPr id="5501641" name="Line 307">
          <a:extLst>
            <a:ext uri="{FF2B5EF4-FFF2-40B4-BE49-F238E27FC236}">
              <a16:creationId xmlns:a16="http://schemas.microsoft.com/office/drawing/2014/main" id="{00000000-0008-0000-0700-0000C9F25300}"/>
            </a:ext>
          </a:extLst>
        </xdr:cNvPr>
        <xdr:cNvSpPr>
          <a:spLocks noChangeShapeType="1"/>
        </xdr:cNvSpPr>
      </xdr:nvSpPr>
      <xdr:spPr bwMode="auto">
        <a:xfrm flipV="1">
          <a:off x="7080250" y="1493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44450</xdr:colOff>
      <xdr:row>91</xdr:row>
      <xdr:rowOff>76200</xdr:rowOff>
    </xdr:from>
    <xdr:to>
      <xdr:col>9</xdr:col>
      <xdr:colOff>12700</xdr:colOff>
      <xdr:row>91</xdr:row>
      <xdr:rowOff>76200</xdr:rowOff>
    </xdr:to>
    <xdr:sp macro="" textlink="">
      <xdr:nvSpPr>
        <xdr:cNvPr id="5501642" name="Line 308">
          <a:extLst>
            <a:ext uri="{FF2B5EF4-FFF2-40B4-BE49-F238E27FC236}">
              <a16:creationId xmlns:a16="http://schemas.microsoft.com/office/drawing/2014/main" id="{00000000-0008-0000-0700-0000CAF25300}"/>
            </a:ext>
          </a:extLst>
        </xdr:cNvPr>
        <xdr:cNvSpPr>
          <a:spLocks noChangeShapeType="1"/>
        </xdr:cNvSpPr>
      </xdr:nvSpPr>
      <xdr:spPr bwMode="auto">
        <a:xfrm flipH="1" flipV="1">
          <a:off x="6654800" y="15252700"/>
          <a:ext cx="4381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8</xdr:col>
      <xdr:colOff>488950</xdr:colOff>
      <xdr:row>96</xdr:row>
      <xdr:rowOff>76200</xdr:rowOff>
    </xdr:from>
    <xdr:to>
      <xdr:col>9</xdr:col>
      <xdr:colOff>0</xdr:colOff>
      <xdr:row>96</xdr:row>
      <xdr:rowOff>76200</xdr:rowOff>
    </xdr:to>
    <xdr:sp macro="" textlink="">
      <xdr:nvSpPr>
        <xdr:cNvPr id="5501643" name="Line 309">
          <a:extLst>
            <a:ext uri="{FF2B5EF4-FFF2-40B4-BE49-F238E27FC236}">
              <a16:creationId xmlns:a16="http://schemas.microsoft.com/office/drawing/2014/main" id="{00000000-0008-0000-0700-0000CBF25300}"/>
            </a:ext>
          </a:extLst>
        </xdr:cNvPr>
        <xdr:cNvSpPr>
          <a:spLocks noChangeShapeType="1"/>
        </xdr:cNvSpPr>
      </xdr:nvSpPr>
      <xdr:spPr bwMode="auto">
        <a:xfrm>
          <a:off x="7080250" y="1605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488950</xdr:colOff>
      <xdr:row>100</xdr:row>
      <xdr:rowOff>88900</xdr:rowOff>
    </xdr:from>
    <xdr:to>
      <xdr:col>9</xdr:col>
      <xdr:colOff>0</xdr:colOff>
      <xdr:row>100</xdr:row>
      <xdr:rowOff>88900</xdr:rowOff>
    </xdr:to>
    <xdr:sp macro="" textlink="">
      <xdr:nvSpPr>
        <xdr:cNvPr id="5501644" name="Line 310">
          <a:extLst>
            <a:ext uri="{FF2B5EF4-FFF2-40B4-BE49-F238E27FC236}">
              <a16:creationId xmlns:a16="http://schemas.microsoft.com/office/drawing/2014/main" id="{00000000-0008-0000-0700-0000CCF25300}"/>
            </a:ext>
          </a:extLst>
        </xdr:cNvPr>
        <xdr:cNvSpPr>
          <a:spLocks noChangeShapeType="1"/>
        </xdr:cNvSpPr>
      </xdr:nvSpPr>
      <xdr:spPr bwMode="auto">
        <a:xfrm>
          <a:off x="7080250" y="16725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222250</xdr:colOff>
      <xdr:row>89</xdr:row>
      <xdr:rowOff>88900</xdr:rowOff>
    </xdr:from>
    <xdr:to>
      <xdr:col>8</xdr:col>
      <xdr:colOff>463550</xdr:colOff>
      <xdr:row>89</xdr:row>
      <xdr:rowOff>88900</xdr:rowOff>
    </xdr:to>
    <xdr:sp macro="" textlink="">
      <xdr:nvSpPr>
        <xdr:cNvPr id="5501645" name="Line 278">
          <a:extLst>
            <a:ext uri="{FF2B5EF4-FFF2-40B4-BE49-F238E27FC236}">
              <a16:creationId xmlns:a16="http://schemas.microsoft.com/office/drawing/2014/main" id="{00000000-0008-0000-0700-0000CDF25300}"/>
            </a:ext>
          </a:extLst>
        </xdr:cNvPr>
        <xdr:cNvSpPr>
          <a:spLocks noChangeShapeType="1"/>
        </xdr:cNvSpPr>
      </xdr:nvSpPr>
      <xdr:spPr bwMode="auto">
        <a:xfrm>
          <a:off x="6832600" y="14935200"/>
          <a:ext cx="241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69850</xdr:colOff>
      <xdr:row>1</xdr:row>
      <xdr:rowOff>12700</xdr:rowOff>
    </xdr:from>
    <xdr:to>
      <xdr:col>19</xdr:col>
      <xdr:colOff>0</xdr:colOff>
      <xdr:row>31</xdr:row>
      <xdr:rowOff>101600</xdr:rowOff>
    </xdr:to>
    <xdr:grpSp>
      <xdr:nvGrpSpPr>
        <xdr:cNvPr id="5501646" name="Group 232">
          <a:extLst>
            <a:ext uri="{FF2B5EF4-FFF2-40B4-BE49-F238E27FC236}">
              <a16:creationId xmlns:a16="http://schemas.microsoft.com/office/drawing/2014/main" id="{00000000-0008-0000-0700-0000CEF25300}"/>
            </a:ext>
          </a:extLst>
        </xdr:cNvPr>
        <xdr:cNvGrpSpPr>
          <a:grpSpLocks/>
        </xdr:cNvGrpSpPr>
      </xdr:nvGrpSpPr>
      <xdr:grpSpPr bwMode="auto">
        <a:xfrm>
          <a:off x="12909550" y="184150"/>
          <a:ext cx="2101850" cy="5127625"/>
          <a:chOff x="3421" y="5379"/>
          <a:chExt cx="2289" cy="5759"/>
        </a:xfrm>
      </xdr:grpSpPr>
      <xdr:grpSp>
        <xdr:nvGrpSpPr>
          <xdr:cNvPr id="5501685" name="Group 233">
            <a:extLst>
              <a:ext uri="{FF2B5EF4-FFF2-40B4-BE49-F238E27FC236}">
                <a16:creationId xmlns:a16="http://schemas.microsoft.com/office/drawing/2014/main" id="{00000000-0008-0000-0700-0000F5F2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03" name="Arc 234">
              <a:extLst>
                <a:ext uri="{FF2B5EF4-FFF2-40B4-BE49-F238E27FC236}">
                  <a16:creationId xmlns:a16="http://schemas.microsoft.com/office/drawing/2014/main" id="{00000000-0008-0000-0700-000007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04" name="Group 235">
              <a:extLst>
                <a:ext uri="{FF2B5EF4-FFF2-40B4-BE49-F238E27FC236}">
                  <a16:creationId xmlns:a16="http://schemas.microsoft.com/office/drawing/2014/main" id="{00000000-0008-0000-0700-000008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05" name="Line 236">
                <a:extLst>
                  <a:ext uri="{FF2B5EF4-FFF2-40B4-BE49-F238E27FC236}">
                    <a16:creationId xmlns:a16="http://schemas.microsoft.com/office/drawing/2014/main" id="{00000000-0008-0000-0700-000009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6" name="Line 237">
                <a:extLst>
                  <a:ext uri="{FF2B5EF4-FFF2-40B4-BE49-F238E27FC236}">
                    <a16:creationId xmlns:a16="http://schemas.microsoft.com/office/drawing/2014/main" id="{00000000-0008-0000-0700-00000A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7" name="Line 238">
                <a:extLst>
                  <a:ext uri="{FF2B5EF4-FFF2-40B4-BE49-F238E27FC236}">
                    <a16:creationId xmlns:a16="http://schemas.microsoft.com/office/drawing/2014/main" id="{00000000-0008-0000-0700-00000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8" name="Line 239">
                <a:extLst>
                  <a:ext uri="{FF2B5EF4-FFF2-40B4-BE49-F238E27FC236}">
                    <a16:creationId xmlns:a16="http://schemas.microsoft.com/office/drawing/2014/main" id="{00000000-0008-0000-0700-00000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9" name="Line 240">
                <a:extLst>
                  <a:ext uri="{FF2B5EF4-FFF2-40B4-BE49-F238E27FC236}">
                    <a16:creationId xmlns:a16="http://schemas.microsoft.com/office/drawing/2014/main" id="{00000000-0008-0000-0700-00000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686" name="Group 241">
            <a:extLst>
              <a:ext uri="{FF2B5EF4-FFF2-40B4-BE49-F238E27FC236}">
                <a16:creationId xmlns:a16="http://schemas.microsoft.com/office/drawing/2014/main" id="{00000000-0008-0000-0700-0000F6F2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696" name="Arc 242">
              <a:extLst>
                <a:ext uri="{FF2B5EF4-FFF2-40B4-BE49-F238E27FC236}">
                  <a16:creationId xmlns:a16="http://schemas.microsoft.com/office/drawing/2014/main" id="{00000000-0008-0000-0700-00000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697" name="Group 243">
              <a:extLst>
                <a:ext uri="{FF2B5EF4-FFF2-40B4-BE49-F238E27FC236}">
                  <a16:creationId xmlns:a16="http://schemas.microsoft.com/office/drawing/2014/main" id="{00000000-0008-0000-0700-00000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698" name="Line 244">
                <a:extLst>
                  <a:ext uri="{FF2B5EF4-FFF2-40B4-BE49-F238E27FC236}">
                    <a16:creationId xmlns:a16="http://schemas.microsoft.com/office/drawing/2014/main" id="{00000000-0008-0000-0700-00000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699" name="Line 245">
                <a:extLst>
                  <a:ext uri="{FF2B5EF4-FFF2-40B4-BE49-F238E27FC236}">
                    <a16:creationId xmlns:a16="http://schemas.microsoft.com/office/drawing/2014/main" id="{00000000-0008-0000-0700-00000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0" name="Line 246">
                <a:extLst>
                  <a:ext uri="{FF2B5EF4-FFF2-40B4-BE49-F238E27FC236}">
                    <a16:creationId xmlns:a16="http://schemas.microsoft.com/office/drawing/2014/main" id="{00000000-0008-0000-0700-00000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1" name="Line 247">
                <a:extLst>
                  <a:ext uri="{FF2B5EF4-FFF2-40B4-BE49-F238E27FC236}">
                    <a16:creationId xmlns:a16="http://schemas.microsoft.com/office/drawing/2014/main" id="{00000000-0008-0000-0700-00000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2" name="Line 248">
                <a:extLst>
                  <a:ext uri="{FF2B5EF4-FFF2-40B4-BE49-F238E27FC236}">
                    <a16:creationId xmlns:a16="http://schemas.microsoft.com/office/drawing/2014/main" id="{00000000-0008-0000-0700-00000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687" name="Line 249">
            <a:extLst>
              <a:ext uri="{FF2B5EF4-FFF2-40B4-BE49-F238E27FC236}">
                <a16:creationId xmlns:a16="http://schemas.microsoft.com/office/drawing/2014/main" id="{00000000-0008-0000-0700-0000F7F2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8" name="Line 250">
            <a:extLst>
              <a:ext uri="{FF2B5EF4-FFF2-40B4-BE49-F238E27FC236}">
                <a16:creationId xmlns:a16="http://schemas.microsoft.com/office/drawing/2014/main" id="{00000000-0008-0000-0700-0000F8F2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9" name="Line 251">
            <a:extLst>
              <a:ext uri="{FF2B5EF4-FFF2-40B4-BE49-F238E27FC236}">
                <a16:creationId xmlns:a16="http://schemas.microsoft.com/office/drawing/2014/main" id="{00000000-0008-0000-0700-0000F9F2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0" name="Line 252">
            <a:extLst>
              <a:ext uri="{FF2B5EF4-FFF2-40B4-BE49-F238E27FC236}">
                <a16:creationId xmlns:a16="http://schemas.microsoft.com/office/drawing/2014/main" id="{00000000-0008-0000-0700-0000FA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1" name="Line 253">
            <a:extLst>
              <a:ext uri="{FF2B5EF4-FFF2-40B4-BE49-F238E27FC236}">
                <a16:creationId xmlns:a16="http://schemas.microsoft.com/office/drawing/2014/main" id="{00000000-0008-0000-0700-0000FBF2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2" name="Line 254">
            <a:extLst>
              <a:ext uri="{FF2B5EF4-FFF2-40B4-BE49-F238E27FC236}">
                <a16:creationId xmlns:a16="http://schemas.microsoft.com/office/drawing/2014/main" id="{00000000-0008-0000-0700-0000FC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3" name="Line 255">
            <a:extLst>
              <a:ext uri="{FF2B5EF4-FFF2-40B4-BE49-F238E27FC236}">
                <a16:creationId xmlns:a16="http://schemas.microsoft.com/office/drawing/2014/main" id="{00000000-0008-0000-0700-0000FD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4" name="Line 256">
            <a:extLst>
              <a:ext uri="{FF2B5EF4-FFF2-40B4-BE49-F238E27FC236}">
                <a16:creationId xmlns:a16="http://schemas.microsoft.com/office/drawing/2014/main" id="{00000000-0008-0000-0700-0000FEF2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5" name="Line 257">
            <a:extLst>
              <a:ext uri="{FF2B5EF4-FFF2-40B4-BE49-F238E27FC236}">
                <a16:creationId xmlns:a16="http://schemas.microsoft.com/office/drawing/2014/main" id="{00000000-0008-0000-0700-0000FF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831850</xdr:colOff>
      <xdr:row>11</xdr:row>
      <xdr:rowOff>101600</xdr:rowOff>
    </xdr:from>
    <xdr:to>
      <xdr:col>18</xdr:col>
      <xdr:colOff>368300</xdr:colOff>
      <xdr:row>11</xdr:row>
      <xdr:rowOff>101600</xdr:rowOff>
    </xdr:to>
    <xdr:sp macro="" textlink="">
      <xdr:nvSpPr>
        <xdr:cNvPr id="5501647" name="Line 268">
          <a:extLst>
            <a:ext uri="{FF2B5EF4-FFF2-40B4-BE49-F238E27FC236}">
              <a16:creationId xmlns:a16="http://schemas.microsoft.com/office/drawing/2014/main" id="{00000000-0008-0000-0700-0000CFF25300}"/>
            </a:ext>
          </a:extLst>
        </xdr:cNvPr>
        <xdr:cNvSpPr>
          <a:spLocks noChangeShapeType="1"/>
        </xdr:cNvSpPr>
      </xdr:nvSpPr>
      <xdr:spPr bwMode="auto">
        <a:xfrm flipV="1">
          <a:off x="14408150" y="2032000"/>
          <a:ext cx="67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88900</xdr:colOff>
      <xdr:row>1</xdr:row>
      <xdr:rowOff>12700</xdr:rowOff>
    </xdr:from>
    <xdr:to>
      <xdr:col>19</xdr:col>
      <xdr:colOff>336550</xdr:colOff>
      <xdr:row>1</xdr:row>
      <xdr:rowOff>12700</xdr:rowOff>
    </xdr:to>
    <xdr:sp macro="" textlink="">
      <xdr:nvSpPr>
        <xdr:cNvPr id="5501648" name="Line 269">
          <a:extLst>
            <a:ext uri="{FF2B5EF4-FFF2-40B4-BE49-F238E27FC236}">
              <a16:creationId xmlns:a16="http://schemas.microsoft.com/office/drawing/2014/main" id="{00000000-0008-0000-0700-0000D0F25300}"/>
            </a:ext>
          </a:extLst>
        </xdr:cNvPr>
        <xdr:cNvSpPr>
          <a:spLocks noChangeShapeType="1"/>
        </xdr:cNvSpPr>
      </xdr:nvSpPr>
      <xdr:spPr bwMode="auto">
        <a:xfrm flipV="1">
          <a:off x="13665200" y="184150"/>
          <a:ext cx="2520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1054100</xdr:colOff>
      <xdr:row>1</xdr:row>
      <xdr:rowOff>12700</xdr:rowOff>
    </xdr:from>
    <xdr:to>
      <xdr:col>18</xdr:col>
      <xdr:colOff>1054100</xdr:colOff>
      <xdr:row>28</xdr:row>
      <xdr:rowOff>139700</xdr:rowOff>
    </xdr:to>
    <xdr:sp macro="" textlink="">
      <xdr:nvSpPr>
        <xdr:cNvPr id="5501649" name="Line 270">
          <a:extLst>
            <a:ext uri="{FF2B5EF4-FFF2-40B4-BE49-F238E27FC236}">
              <a16:creationId xmlns:a16="http://schemas.microsoft.com/office/drawing/2014/main" id="{00000000-0008-0000-0700-0000D1F25300}"/>
            </a:ext>
          </a:extLst>
        </xdr:cNvPr>
        <xdr:cNvSpPr>
          <a:spLocks noChangeShapeType="1"/>
        </xdr:cNvSpPr>
      </xdr:nvSpPr>
      <xdr:spPr bwMode="auto">
        <a:xfrm>
          <a:off x="15767050" y="184150"/>
          <a:ext cx="0" cy="47053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120650</xdr:colOff>
      <xdr:row>10</xdr:row>
      <xdr:rowOff>152400</xdr:rowOff>
    </xdr:from>
    <xdr:to>
      <xdr:col>18</xdr:col>
      <xdr:colOff>412750</xdr:colOff>
      <xdr:row>10</xdr:row>
      <xdr:rowOff>152400</xdr:rowOff>
    </xdr:to>
    <xdr:sp macro="" textlink="">
      <xdr:nvSpPr>
        <xdr:cNvPr id="5501650" name="Line 271">
          <a:extLst>
            <a:ext uri="{FF2B5EF4-FFF2-40B4-BE49-F238E27FC236}">
              <a16:creationId xmlns:a16="http://schemas.microsoft.com/office/drawing/2014/main" id="{00000000-0008-0000-0700-0000D2F25300}"/>
            </a:ext>
          </a:extLst>
        </xdr:cNvPr>
        <xdr:cNvSpPr>
          <a:spLocks noChangeShapeType="1"/>
        </xdr:cNvSpPr>
      </xdr:nvSpPr>
      <xdr:spPr bwMode="auto">
        <a:xfrm>
          <a:off x="13696950" y="1911350"/>
          <a:ext cx="1428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152400</xdr:colOff>
      <xdr:row>0</xdr:row>
      <xdr:rowOff>158750</xdr:rowOff>
    </xdr:from>
    <xdr:to>
      <xdr:col>17</xdr:col>
      <xdr:colOff>152400</xdr:colOff>
      <xdr:row>10</xdr:row>
      <xdr:rowOff>139700</xdr:rowOff>
    </xdr:to>
    <xdr:sp macro="" textlink="">
      <xdr:nvSpPr>
        <xdr:cNvPr id="5501651" name="Line 272">
          <a:extLst>
            <a:ext uri="{FF2B5EF4-FFF2-40B4-BE49-F238E27FC236}">
              <a16:creationId xmlns:a16="http://schemas.microsoft.com/office/drawing/2014/main" id="{00000000-0008-0000-0700-0000D3F25300}"/>
            </a:ext>
          </a:extLst>
        </xdr:cNvPr>
        <xdr:cNvSpPr>
          <a:spLocks noChangeShapeType="1"/>
        </xdr:cNvSpPr>
      </xdr:nvSpPr>
      <xdr:spPr bwMode="auto">
        <a:xfrm flipH="1">
          <a:off x="13728700" y="158750"/>
          <a:ext cx="0" cy="17399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234950</xdr:colOff>
      <xdr:row>31</xdr:row>
      <xdr:rowOff>95250</xdr:rowOff>
    </xdr:from>
    <xdr:to>
      <xdr:col>17</xdr:col>
      <xdr:colOff>82550</xdr:colOff>
      <xdr:row>31</xdr:row>
      <xdr:rowOff>95250</xdr:rowOff>
    </xdr:to>
    <xdr:sp macro="" textlink="">
      <xdr:nvSpPr>
        <xdr:cNvPr id="5501652" name="Line 277">
          <a:extLst>
            <a:ext uri="{FF2B5EF4-FFF2-40B4-BE49-F238E27FC236}">
              <a16:creationId xmlns:a16="http://schemas.microsoft.com/office/drawing/2014/main" id="{00000000-0008-0000-0700-0000D4F25300}"/>
            </a:ext>
          </a:extLst>
        </xdr:cNvPr>
        <xdr:cNvSpPr>
          <a:spLocks noChangeShapeType="1"/>
        </xdr:cNvSpPr>
      </xdr:nvSpPr>
      <xdr:spPr bwMode="auto">
        <a:xfrm>
          <a:off x="12998450" y="5359400"/>
          <a:ext cx="660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196850</xdr:colOff>
      <xdr:row>29</xdr:row>
      <xdr:rowOff>88900</xdr:rowOff>
    </xdr:from>
    <xdr:to>
      <xdr:col>18</xdr:col>
      <xdr:colOff>1035050</xdr:colOff>
      <xdr:row>29</xdr:row>
      <xdr:rowOff>88900</xdr:rowOff>
    </xdr:to>
    <xdr:sp macro="" textlink="">
      <xdr:nvSpPr>
        <xdr:cNvPr id="5501653" name="Line 280">
          <a:extLst>
            <a:ext uri="{FF2B5EF4-FFF2-40B4-BE49-F238E27FC236}">
              <a16:creationId xmlns:a16="http://schemas.microsoft.com/office/drawing/2014/main" id="{00000000-0008-0000-0700-0000D5F25300}"/>
            </a:ext>
          </a:extLst>
        </xdr:cNvPr>
        <xdr:cNvSpPr>
          <a:spLocks noChangeShapeType="1"/>
        </xdr:cNvSpPr>
      </xdr:nvSpPr>
      <xdr:spPr bwMode="auto">
        <a:xfrm>
          <a:off x="14909800" y="5010150"/>
          <a:ext cx="838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508000</xdr:colOff>
      <xdr:row>20</xdr:row>
      <xdr:rowOff>0</xdr:rowOff>
    </xdr:from>
    <xdr:to>
      <xdr:col>17</xdr:col>
      <xdr:colOff>508000</xdr:colOff>
      <xdr:row>28</xdr:row>
      <xdr:rowOff>127000</xdr:rowOff>
    </xdr:to>
    <xdr:sp macro="" textlink="">
      <xdr:nvSpPr>
        <xdr:cNvPr id="5501654" name="Line 281">
          <a:extLst>
            <a:ext uri="{FF2B5EF4-FFF2-40B4-BE49-F238E27FC236}">
              <a16:creationId xmlns:a16="http://schemas.microsoft.com/office/drawing/2014/main" id="{00000000-0008-0000-0700-0000D6F25300}"/>
            </a:ext>
          </a:extLst>
        </xdr:cNvPr>
        <xdr:cNvSpPr>
          <a:spLocks noChangeShapeType="1"/>
        </xdr:cNvSpPr>
      </xdr:nvSpPr>
      <xdr:spPr bwMode="auto">
        <a:xfrm flipH="1">
          <a:off x="14084300" y="3422650"/>
          <a:ext cx="0" cy="14541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311150</xdr:colOff>
      <xdr:row>27</xdr:row>
      <xdr:rowOff>133350</xdr:rowOff>
    </xdr:from>
    <xdr:to>
      <xdr:col>16</xdr:col>
      <xdr:colOff>323850</xdr:colOff>
      <xdr:row>31</xdr:row>
      <xdr:rowOff>95250</xdr:rowOff>
    </xdr:to>
    <xdr:sp macro="" textlink="">
      <xdr:nvSpPr>
        <xdr:cNvPr id="5501655" name="Line 282">
          <a:extLst>
            <a:ext uri="{FF2B5EF4-FFF2-40B4-BE49-F238E27FC236}">
              <a16:creationId xmlns:a16="http://schemas.microsoft.com/office/drawing/2014/main" id="{00000000-0008-0000-0700-0000D7F25300}"/>
            </a:ext>
          </a:extLst>
        </xdr:cNvPr>
        <xdr:cNvSpPr>
          <a:spLocks noChangeShapeType="1"/>
        </xdr:cNvSpPr>
      </xdr:nvSpPr>
      <xdr:spPr bwMode="auto">
        <a:xfrm flipH="1">
          <a:off x="13074650" y="4711700"/>
          <a:ext cx="12700" cy="647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730250</xdr:colOff>
      <xdr:row>20</xdr:row>
      <xdr:rowOff>0</xdr:rowOff>
    </xdr:from>
    <xdr:to>
      <xdr:col>16</xdr:col>
      <xdr:colOff>730250</xdr:colOff>
      <xdr:row>27</xdr:row>
      <xdr:rowOff>133350</xdr:rowOff>
    </xdr:to>
    <xdr:sp macro="" textlink="">
      <xdr:nvSpPr>
        <xdr:cNvPr id="5501656" name="Line 283">
          <a:extLst>
            <a:ext uri="{FF2B5EF4-FFF2-40B4-BE49-F238E27FC236}">
              <a16:creationId xmlns:a16="http://schemas.microsoft.com/office/drawing/2014/main" id="{00000000-0008-0000-0700-0000D8F25300}"/>
            </a:ext>
          </a:extLst>
        </xdr:cNvPr>
        <xdr:cNvSpPr>
          <a:spLocks noChangeShapeType="1"/>
        </xdr:cNvSpPr>
      </xdr:nvSpPr>
      <xdr:spPr bwMode="auto">
        <a:xfrm>
          <a:off x="13493750" y="3422650"/>
          <a:ext cx="0" cy="12890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69850</xdr:colOff>
      <xdr:row>31</xdr:row>
      <xdr:rowOff>95250</xdr:rowOff>
    </xdr:from>
    <xdr:to>
      <xdr:col>17</xdr:col>
      <xdr:colOff>69850</xdr:colOff>
      <xdr:row>32</xdr:row>
      <xdr:rowOff>0</xdr:rowOff>
    </xdr:to>
    <xdr:sp macro="" textlink="">
      <xdr:nvSpPr>
        <xdr:cNvPr id="5501657" name="Line 284">
          <a:extLst>
            <a:ext uri="{FF2B5EF4-FFF2-40B4-BE49-F238E27FC236}">
              <a16:creationId xmlns:a16="http://schemas.microsoft.com/office/drawing/2014/main" id="{00000000-0008-0000-0700-0000D9F25300}"/>
            </a:ext>
          </a:extLst>
        </xdr:cNvPr>
        <xdr:cNvSpPr>
          <a:spLocks noChangeShapeType="1"/>
        </xdr:cNvSpPr>
      </xdr:nvSpPr>
      <xdr:spPr bwMode="auto">
        <a:xfrm flipV="1">
          <a:off x="13646150" y="5359400"/>
          <a:ext cx="0" cy="762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29</xdr:row>
      <xdr:rowOff>88900</xdr:rowOff>
    </xdr:from>
    <xdr:to>
      <xdr:col>17</xdr:col>
      <xdr:colOff>946150</xdr:colOff>
      <xdr:row>31</xdr:row>
      <xdr:rowOff>158750</xdr:rowOff>
    </xdr:to>
    <xdr:sp macro="" textlink="">
      <xdr:nvSpPr>
        <xdr:cNvPr id="5501658" name="Line 285">
          <a:extLst>
            <a:ext uri="{FF2B5EF4-FFF2-40B4-BE49-F238E27FC236}">
              <a16:creationId xmlns:a16="http://schemas.microsoft.com/office/drawing/2014/main" id="{00000000-0008-0000-0700-0000DAF25300}"/>
            </a:ext>
          </a:extLst>
        </xdr:cNvPr>
        <xdr:cNvSpPr>
          <a:spLocks noChangeShapeType="1"/>
        </xdr:cNvSpPr>
      </xdr:nvSpPr>
      <xdr:spPr bwMode="auto">
        <a:xfrm flipH="1" flipV="1">
          <a:off x="14522450" y="5010150"/>
          <a:ext cx="0" cy="4127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88900</xdr:colOff>
      <xdr:row>31</xdr:row>
      <xdr:rowOff>127000</xdr:rowOff>
    </xdr:from>
    <xdr:to>
      <xdr:col>17</xdr:col>
      <xdr:colOff>958850</xdr:colOff>
      <xdr:row>31</xdr:row>
      <xdr:rowOff>127000</xdr:rowOff>
    </xdr:to>
    <xdr:sp macro="" textlink="">
      <xdr:nvSpPr>
        <xdr:cNvPr id="5501659" name="Line 286">
          <a:extLst>
            <a:ext uri="{FF2B5EF4-FFF2-40B4-BE49-F238E27FC236}">
              <a16:creationId xmlns:a16="http://schemas.microsoft.com/office/drawing/2014/main" id="{00000000-0008-0000-0700-0000DBF25300}"/>
            </a:ext>
          </a:extLst>
        </xdr:cNvPr>
        <xdr:cNvSpPr>
          <a:spLocks noChangeShapeType="1"/>
        </xdr:cNvSpPr>
      </xdr:nvSpPr>
      <xdr:spPr bwMode="auto">
        <a:xfrm flipV="1">
          <a:off x="13665200" y="5391150"/>
          <a:ext cx="869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666750</xdr:colOff>
      <xdr:row>16</xdr:row>
      <xdr:rowOff>57150</xdr:rowOff>
    </xdr:from>
    <xdr:to>
      <xdr:col>18</xdr:col>
      <xdr:colOff>514350</xdr:colOff>
      <xdr:row>16</xdr:row>
      <xdr:rowOff>57150</xdr:rowOff>
    </xdr:to>
    <xdr:sp macro="" textlink="">
      <xdr:nvSpPr>
        <xdr:cNvPr id="5501660" name="Line 287">
          <a:extLst>
            <a:ext uri="{FF2B5EF4-FFF2-40B4-BE49-F238E27FC236}">
              <a16:creationId xmlns:a16="http://schemas.microsoft.com/office/drawing/2014/main" id="{00000000-0008-0000-0700-0000DCF25300}"/>
            </a:ext>
          </a:extLst>
        </xdr:cNvPr>
        <xdr:cNvSpPr>
          <a:spLocks noChangeShapeType="1"/>
        </xdr:cNvSpPr>
      </xdr:nvSpPr>
      <xdr:spPr bwMode="auto">
        <a:xfrm flipV="1">
          <a:off x="14243050" y="2819400"/>
          <a:ext cx="9842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831850</xdr:colOff>
      <xdr:row>14</xdr:row>
      <xdr:rowOff>127000</xdr:rowOff>
    </xdr:from>
    <xdr:to>
      <xdr:col>19</xdr:col>
      <xdr:colOff>19050</xdr:colOff>
      <xdr:row>14</xdr:row>
      <xdr:rowOff>127000</xdr:rowOff>
    </xdr:to>
    <xdr:sp macro="" textlink="">
      <xdr:nvSpPr>
        <xdr:cNvPr id="5501661" name="Line 289">
          <a:extLst>
            <a:ext uri="{FF2B5EF4-FFF2-40B4-BE49-F238E27FC236}">
              <a16:creationId xmlns:a16="http://schemas.microsoft.com/office/drawing/2014/main" id="{00000000-0008-0000-0700-0000DDF25300}"/>
            </a:ext>
          </a:extLst>
        </xdr:cNvPr>
        <xdr:cNvSpPr>
          <a:spLocks noChangeShapeType="1"/>
        </xdr:cNvSpPr>
      </xdr:nvSpPr>
      <xdr:spPr bwMode="auto">
        <a:xfrm>
          <a:off x="14408150" y="2559050"/>
          <a:ext cx="1460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679450</xdr:colOff>
      <xdr:row>15</xdr:row>
      <xdr:rowOff>127000</xdr:rowOff>
    </xdr:from>
    <xdr:to>
      <xdr:col>19</xdr:col>
      <xdr:colOff>44450</xdr:colOff>
      <xdr:row>15</xdr:row>
      <xdr:rowOff>127000</xdr:rowOff>
    </xdr:to>
    <xdr:sp macro="" textlink="">
      <xdr:nvSpPr>
        <xdr:cNvPr id="5501662" name="Line 290">
          <a:extLst>
            <a:ext uri="{FF2B5EF4-FFF2-40B4-BE49-F238E27FC236}">
              <a16:creationId xmlns:a16="http://schemas.microsoft.com/office/drawing/2014/main" id="{00000000-0008-0000-0700-0000DEF25300}"/>
            </a:ext>
          </a:extLst>
        </xdr:cNvPr>
        <xdr:cNvSpPr>
          <a:spLocks noChangeShapeType="1"/>
        </xdr:cNvSpPr>
      </xdr:nvSpPr>
      <xdr:spPr bwMode="auto">
        <a:xfrm>
          <a:off x="14255750" y="2724150"/>
          <a:ext cx="16383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666750</xdr:colOff>
      <xdr:row>18</xdr:row>
      <xdr:rowOff>69850</xdr:rowOff>
    </xdr:from>
    <xdr:to>
      <xdr:col>19</xdr:col>
      <xdr:colOff>44450</xdr:colOff>
      <xdr:row>18</xdr:row>
      <xdr:rowOff>69850</xdr:rowOff>
    </xdr:to>
    <xdr:sp macro="" textlink="">
      <xdr:nvSpPr>
        <xdr:cNvPr id="5501663" name="Line 291">
          <a:extLst>
            <a:ext uri="{FF2B5EF4-FFF2-40B4-BE49-F238E27FC236}">
              <a16:creationId xmlns:a16="http://schemas.microsoft.com/office/drawing/2014/main" id="{00000000-0008-0000-0700-0000DFF25300}"/>
            </a:ext>
          </a:extLst>
        </xdr:cNvPr>
        <xdr:cNvSpPr>
          <a:spLocks noChangeShapeType="1"/>
        </xdr:cNvSpPr>
      </xdr:nvSpPr>
      <xdr:spPr bwMode="auto">
        <a:xfrm>
          <a:off x="14243050" y="3162300"/>
          <a:ext cx="1651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19</xdr:row>
      <xdr:rowOff>139700</xdr:rowOff>
    </xdr:from>
    <xdr:to>
      <xdr:col>19</xdr:col>
      <xdr:colOff>12700</xdr:colOff>
      <xdr:row>19</xdr:row>
      <xdr:rowOff>139700</xdr:rowOff>
    </xdr:to>
    <xdr:sp macro="" textlink="">
      <xdr:nvSpPr>
        <xdr:cNvPr id="5501664" name="Line 292">
          <a:extLst>
            <a:ext uri="{FF2B5EF4-FFF2-40B4-BE49-F238E27FC236}">
              <a16:creationId xmlns:a16="http://schemas.microsoft.com/office/drawing/2014/main" id="{00000000-0008-0000-0700-0000E0F25300}"/>
            </a:ext>
          </a:extLst>
        </xdr:cNvPr>
        <xdr:cNvSpPr>
          <a:spLocks noChangeShapeType="1"/>
        </xdr:cNvSpPr>
      </xdr:nvSpPr>
      <xdr:spPr bwMode="auto">
        <a:xfrm>
          <a:off x="14522450" y="3397250"/>
          <a:ext cx="133985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1136650</xdr:colOff>
      <xdr:row>1</xdr:row>
      <xdr:rowOff>0</xdr:rowOff>
    </xdr:from>
    <xdr:to>
      <xdr:col>18</xdr:col>
      <xdr:colOff>0</xdr:colOff>
      <xdr:row>14</xdr:row>
      <xdr:rowOff>127000</xdr:rowOff>
    </xdr:to>
    <xdr:sp macro="" textlink="">
      <xdr:nvSpPr>
        <xdr:cNvPr id="5501665" name="Line 293">
          <a:extLst>
            <a:ext uri="{FF2B5EF4-FFF2-40B4-BE49-F238E27FC236}">
              <a16:creationId xmlns:a16="http://schemas.microsoft.com/office/drawing/2014/main" id="{00000000-0008-0000-0700-0000E1F25300}"/>
            </a:ext>
          </a:extLst>
        </xdr:cNvPr>
        <xdr:cNvSpPr>
          <a:spLocks noChangeShapeType="1"/>
        </xdr:cNvSpPr>
      </xdr:nvSpPr>
      <xdr:spPr bwMode="auto">
        <a:xfrm flipH="1">
          <a:off x="14712950" y="171450"/>
          <a:ext cx="0" cy="23876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18</xdr:col>
      <xdr:colOff>190500</xdr:colOff>
      <xdr:row>1</xdr:row>
      <xdr:rowOff>0</xdr:rowOff>
    </xdr:from>
    <xdr:to>
      <xdr:col>18</xdr:col>
      <xdr:colOff>190500</xdr:colOff>
      <xdr:row>18</xdr:row>
      <xdr:rowOff>69850</xdr:rowOff>
    </xdr:to>
    <xdr:sp macro="" textlink="">
      <xdr:nvSpPr>
        <xdr:cNvPr id="5501666" name="Line 294">
          <a:extLst>
            <a:ext uri="{FF2B5EF4-FFF2-40B4-BE49-F238E27FC236}">
              <a16:creationId xmlns:a16="http://schemas.microsoft.com/office/drawing/2014/main" id="{00000000-0008-0000-0700-0000E2F25300}"/>
            </a:ext>
          </a:extLst>
        </xdr:cNvPr>
        <xdr:cNvSpPr>
          <a:spLocks noChangeShapeType="1"/>
        </xdr:cNvSpPr>
      </xdr:nvSpPr>
      <xdr:spPr bwMode="auto">
        <a:xfrm>
          <a:off x="14903450" y="171450"/>
          <a:ext cx="0" cy="29908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19050</xdr:colOff>
      <xdr:row>14</xdr:row>
      <xdr:rowOff>127000</xdr:rowOff>
    </xdr:from>
    <xdr:to>
      <xdr:col>19</xdr:col>
      <xdr:colOff>19050</xdr:colOff>
      <xdr:row>15</xdr:row>
      <xdr:rowOff>127000</xdr:rowOff>
    </xdr:to>
    <xdr:sp macro="" textlink="">
      <xdr:nvSpPr>
        <xdr:cNvPr id="5501667" name="Line 295">
          <a:extLst>
            <a:ext uri="{FF2B5EF4-FFF2-40B4-BE49-F238E27FC236}">
              <a16:creationId xmlns:a16="http://schemas.microsoft.com/office/drawing/2014/main" id="{00000000-0008-0000-0700-0000E3F25300}"/>
            </a:ext>
          </a:extLst>
        </xdr:cNvPr>
        <xdr:cNvSpPr>
          <a:spLocks noChangeShapeType="1"/>
        </xdr:cNvSpPr>
      </xdr:nvSpPr>
      <xdr:spPr bwMode="auto">
        <a:xfrm>
          <a:off x="15868650" y="255905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12700</xdr:colOff>
      <xdr:row>18</xdr:row>
      <xdr:rowOff>69850</xdr:rowOff>
    </xdr:from>
    <xdr:to>
      <xdr:col>19</xdr:col>
      <xdr:colOff>12700</xdr:colOff>
      <xdr:row>19</xdr:row>
      <xdr:rowOff>139700</xdr:rowOff>
    </xdr:to>
    <xdr:sp macro="" textlink="">
      <xdr:nvSpPr>
        <xdr:cNvPr id="5501668" name="Line 296">
          <a:extLst>
            <a:ext uri="{FF2B5EF4-FFF2-40B4-BE49-F238E27FC236}">
              <a16:creationId xmlns:a16="http://schemas.microsoft.com/office/drawing/2014/main" id="{00000000-0008-0000-0700-0000E4F25300}"/>
            </a:ext>
          </a:extLst>
        </xdr:cNvPr>
        <xdr:cNvSpPr>
          <a:spLocks noChangeShapeType="1"/>
        </xdr:cNvSpPr>
      </xdr:nvSpPr>
      <xdr:spPr bwMode="auto">
        <a:xfrm>
          <a:off x="15862300" y="3162300"/>
          <a:ext cx="0" cy="2349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0</xdr:colOff>
      <xdr:row>11</xdr:row>
      <xdr:rowOff>101600</xdr:rowOff>
    </xdr:from>
    <xdr:to>
      <xdr:col>17</xdr:col>
      <xdr:colOff>838200</xdr:colOff>
      <xdr:row>11</xdr:row>
      <xdr:rowOff>101600</xdr:rowOff>
    </xdr:to>
    <xdr:sp macro="" textlink="">
      <xdr:nvSpPr>
        <xdr:cNvPr id="5501669" name="Line 297">
          <a:extLst>
            <a:ext uri="{FF2B5EF4-FFF2-40B4-BE49-F238E27FC236}">
              <a16:creationId xmlns:a16="http://schemas.microsoft.com/office/drawing/2014/main" id="{00000000-0008-0000-0700-0000E5F25300}"/>
            </a:ext>
          </a:extLst>
        </xdr:cNvPr>
        <xdr:cNvSpPr>
          <a:spLocks noChangeShapeType="1"/>
        </xdr:cNvSpPr>
      </xdr:nvSpPr>
      <xdr:spPr bwMode="auto">
        <a:xfrm>
          <a:off x="13576300" y="20320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</xdr:row>
      <xdr:rowOff>69850</xdr:rowOff>
    </xdr:from>
    <xdr:to>
      <xdr:col>17</xdr:col>
      <xdr:colOff>679450</xdr:colOff>
      <xdr:row>16</xdr:row>
      <xdr:rowOff>69850</xdr:rowOff>
    </xdr:to>
    <xdr:sp macro="" textlink="">
      <xdr:nvSpPr>
        <xdr:cNvPr id="5501670" name="Line 298">
          <a:extLst>
            <a:ext uri="{FF2B5EF4-FFF2-40B4-BE49-F238E27FC236}">
              <a16:creationId xmlns:a16="http://schemas.microsoft.com/office/drawing/2014/main" id="{00000000-0008-0000-0700-0000E6F25300}"/>
            </a:ext>
          </a:extLst>
        </xdr:cNvPr>
        <xdr:cNvSpPr>
          <a:spLocks noChangeShapeType="1"/>
        </xdr:cNvSpPr>
      </xdr:nvSpPr>
      <xdr:spPr bwMode="auto">
        <a:xfrm>
          <a:off x="13576300" y="2832100"/>
          <a:ext cx="6794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514350</xdr:colOff>
      <xdr:row>31</xdr:row>
      <xdr:rowOff>127000</xdr:rowOff>
    </xdr:from>
    <xdr:to>
      <xdr:col>17</xdr:col>
      <xdr:colOff>514350</xdr:colOff>
      <xdr:row>33</xdr:row>
      <xdr:rowOff>95250</xdr:rowOff>
    </xdr:to>
    <xdr:sp macro="" textlink="">
      <xdr:nvSpPr>
        <xdr:cNvPr id="5501671" name="Line 301">
          <a:extLst>
            <a:ext uri="{FF2B5EF4-FFF2-40B4-BE49-F238E27FC236}">
              <a16:creationId xmlns:a16="http://schemas.microsoft.com/office/drawing/2014/main" id="{00000000-0008-0000-0700-0000E7F25300}"/>
            </a:ext>
          </a:extLst>
        </xdr:cNvPr>
        <xdr:cNvSpPr>
          <a:spLocks noChangeShapeType="1"/>
        </xdr:cNvSpPr>
      </xdr:nvSpPr>
      <xdr:spPr bwMode="auto">
        <a:xfrm flipH="1">
          <a:off x="14090650" y="5391150"/>
          <a:ext cx="0" cy="31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</xdr:row>
      <xdr:rowOff>76200</xdr:rowOff>
    </xdr:from>
    <xdr:to>
      <xdr:col>17</xdr:col>
      <xdr:colOff>152400</xdr:colOff>
      <xdr:row>2</xdr:row>
      <xdr:rowOff>76200</xdr:rowOff>
    </xdr:to>
    <xdr:sp macro="" textlink="">
      <xdr:nvSpPr>
        <xdr:cNvPr id="5501672" name="Line 302">
          <a:extLst>
            <a:ext uri="{FF2B5EF4-FFF2-40B4-BE49-F238E27FC236}">
              <a16:creationId xmlns:a16="http://schemas.microsoft.com/office/drawing/2014/main" id="{00000000-0008-0000-0700-0000E8F25300}"/>
            </a:ext>
          </a:extLst>
        </xdr:cNvPr>
        <xdr:cNvSpPr>
          <a:spLocks noChangeShapeType="1"/>
        </xdr:cNvSpPr>
      </xdr:nvSpPr>
      <xdr:spPr bwMode="auto">
        <a:xfrm>
          <a:off x="13576300" y="4191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1771650</xdr:colOff>
      <xdr:row>10</xdr:row>
      <xdr:rowOff>88900</xdr:rowOff>
    </xdr:from>
    <xdr:to>
      <xdr:col>20</xdr:col>
      <xdr:colOff>0</xdr:colOff>
      <xdr:row>10</xdr:row>
      <xdr:rowOff>88900</xdr:rowOff>
    </xdr:to>
    <xdr:sp macro="" textlink="">
      <xdr:nvSpPr>
        <xdr:cNvPr id="5501673" name="Line 303">
          <a:extLst>
            <a:ext uri="{FF2B5EF4-FFF2-40B4-BE49-F238E27FC236}">
              <a16:creationId xmlns:a16="http://schemas.microsoft.com/office/drawing/2014/main" id="{00000000-0008-0000-0700-0000E9F25300}"/>
            </a:ext>
          </a:extLst>
        </xdr:cNvPr>
        <xdr:cNvSpPr>
          <a:spLocks noChangeShapeType="1"/>
        </xdr:cNvSpPr>
      </xdr:nvSpPr>
      <xdr:spPr bwMode="auto">
        <a:xfrm flipV="1">
          <a:off x="14712950" y="1847850"/>
          <a:ext cx="1949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18</xdr:col>
      <xdr:colOff>190500</xdr:colOff>
      <xdr:row>12</xdr:row>
      <xdr:rowOff>76200</xdr:rowOff>
    </xdr:from>
    <xdr:to>
      <xdr:col>20</xdr:col>
      <xdr:colOff>0</xdr:colOff>
      <xdr:row>12</xdr:row>
      <xdr:rowOff>76200</xdr:rowOff>
    </xdr:to>
    <xdr:sp macro="" textlink="">
      <xdr:nvSpPr>
        <xdr:cNvPr id="5501674" name="Line 304">
          <a:extLst>
            <a:ext uri="{FF2B5EF4-FFF2-40B4-BE49-F238E27FC236}">
              <a16:creationId xmlns:a16="http://schemas.microsoft.com/office/drawing/2014/main" id="{00000000-0008-0000-0700-0000EAF25300}"/>
            </a:ext>
          </a:extLst>
        </xdr:cNvPr>
        <xdr:cNvSpPr>
          <a:spLocks noChangeShapeType="1"/>
        </xdr:cNvSpPr>
      </xdr:nvSpPr>
      <xdr:spPr bwMode="auto">
        <a:xfrm flipV="1">
          <a:off x="14903450" y="2178050"/>
          <a:ext cx="17589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15</xdr:row>
      <xdr:rowOff>44450</xdr:rowOff>
    </xdr:from>
    <xdr:to>
      <xdr:col>19</xdr:col>
      <xdr:colOff>787400</xdr:colOff>
      <xdr:row>15</xdr:row>
      <xdr:rowOff>44450</xdr:rowOff>
    </xdr:to>
    <xdr:sp macro="" textlink="">
      <xdr:nvSpPr>
        <xdr:cNvPr id="5501675" name="Line 305">
          <a:extLst>
            <a:ext uri="{FF2B5EF4-FFF2-40B4-BE49-F238E27FC236}">
              <a16:creationId xmlns:a16="http://schemas.microsoft.com/office/drawing/2014/main" id="{00000000-0008-0000-0700-0000EBF25300}"/>
            </a:ext>
          </a:extLst>
        </xdr:cNvPr>
        <xdr:cNvSpPr>
          <a:spLocks noChangeShapeType="1"/>
        </xdr:cNvSpPr>
      </xdr:nvSpPr>
      <xdr:spPr bwMode="auto">
        <a:xfrm flipV="1">
          <a:off x="15868650" y="2641600"/>
          <a:ext cx="768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19</xdr:row>
      <xdr:rowOff>25400</xdr:rowOff>
    </xdr:from>
    <xdr:to>
      <xdr:col>19</xdr:col>
      <xdr:colOff>806450</xdr:colOff>
      <xdr:row>19</xdr:row>
      <xdr:rowOff>25400</xdr:rowOff>
    </xdr:to>
    <xdr:sp macro="" textlink="">
      <xdr:nvSpPr>
        <xdr:cNvPr id="5501676" name="Line 308">
          <a:extLst>
            <a:ext uri="{FF2B5EF4-FFF2-40B4-BE49-F238E27FC236}">
              <a16:creationId xmlns:a16="http://schemas.microsoft.com/office/drawing/2014/main" id="{00000000-0008-0000-0700-0000ECF25300}"/>
            </a:ext>
          </a:extLst>
        </xdr:cNvPr>
        <xdr:cNvSpPr>
          <a:spLocks noChangeShapeType="1"/>
        </xdr:cNvSpPr>
      </xdr:nvSpPr>
      <xdr:spPr bwMode="auto">
        <a:xfrm flipH="1" flipV="1">
          <a:off x="15868650" y="3282950"/>
          <a:ext cx="7874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15</xdr:col>
      <xdr:colOff>812800</xdr:colOff>
      <xdr:row>28</xdr:row>
      <xdr:rowOff>88900</xdr:rowOff>
    </xdr:from>
    <xdr:to>
      <xdr:col>16</xdr:col>
      <xdr:colOff>323850</xdr:colOff>
      <xdr:row>28</xdr:row>
      <xdr:rowOff>88900</xdr:rowOff>
    </xdr:to>
    <xdr:sp macro="" textlink="">
      <xdr:nvSpPr>
        <xdr:cNvPr id="5501677" name="Line 310">
          <a:extLst>
            <a:ext uri="{FF2B5EF4-FFF2-40B4-BE49-F238E27FC236}">
              <a16:creationId xmlns:a16="http://schemas.microsoft.com/office/drawing/2014/main" id="{00000000-0008-0000-0700-0000EDF25300}"/>
            </a:ext>
          </a:extLst>
        </xdr:cNvPr>
        <xdr:cNvSpPr>
          <a:spLocks noChangeShapeType="1"/>
        </xdr:cNvSpPr>
      </xdr:nvSpPr>
      <xdr:spPr bwMode="auto">
        <a:xfrm>
          <a:off x="12763500" y="48387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234950</xdr:colOff>
      <xdr:row>27</xdr:row>
      <xdr:rowOff>127000</xdr:rowOff>
    </xdr:from>
    <xdr:to>
      <xdr:col>17</xdr:col>
      <xdr:colOff>69850</xdr:colOff>
      <xdr:row>27</xdr:row>
      <xdr:rowOff>127000</xdr:rowOff>
    </xdr:to>
    <xdr:sp macro="" textlink="">
      <xdr:nvSpPr>
        <xdr:cNvPr id="5501678" name="Line 277">
          <a:extLst>
            <a:ext uri="{FF2B5EF4-FFF2-40B4-BE49-F238E27FC236}">
              <a16:creationId xmlns:a16="http://schemas.microsoft.com/office/drawing/2014/main" id="{00000000-0008-0000-0700-0000EEF25300}"/>
            </a:ext>
          </a:extLst>
        </xdr:cNvPr>
        <xdr:cNvSpPr>
          <a:spLocks noChangeShapeType="1"/>
        </xdr:cNvSpPr>
      </xdr:nvSpPr>
      <xdr:spPr bwMode="auto">
        <a:xfrm>
          <a:off x="12998450" y="4705350"/>
          <a:ext cx="6477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412750</xdr:colOff>
      <xdr:row>28</xdr:row>
      <xdr:rowOff>127000</xdr:rowOff>
    </xdr:from>
    <xdr:to>
      <xdr:col>19</xdr:col>
      <xdr:colOff>82550</xdr:colOff>
      <xdr:row>28</xdr:row>
      <xdr:rowOff>127000</xdr:rowOff>
    </xdr:to>
    <xdr:sp macro="" textlink="">
      <xdr:nvSpPr>
        <xdr:cNvPr id="5501679" name="Line 280">
          <a:extLst>
            <a:ext uri="{FF2B5EF4-FFF2-40B4-BE49-F238E27FC236}">
              <a16:creationId xmlns:a16="http://schemas.microsoft.com/office/drawing/2014/main" id="{00000000-0008-0000-0700-0000EFF25300}"/>
            </a:ext>
          </a:extLst>
        </xdr:cNvPr>
        <xdr:cNvSpPr>
          <a:spLocks noChangeShapeType="1"/>
        </xdr:cNvSpPr>
      </xdr:nvSpPr>
      <xdr:spPr bwMode="auto">
        <a:xfrm flipV="1">
          <a:off x="13989050" y="4876800"/>
          <a:ext cx="194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165100</xdr:colOff>
      <xdr:row>30</xdr:row>
      <xdr:rowOff>44450</xdr:rowOff>
    </xdr:from>
    <xdr:to>
      <xdr:col>18</xdr:col>
      <xdr:colOff>927100</xdr:colOff>
      <xdr:row>30</xdr:row>
      <xdr:rowOff>44450</xdr:rowOff>
    </xdr:to>
    <xdr:sp macro="" textlink="">
      <xdr:nvSpPr>
        <xdr:cNvPr id="5501680" name="Line 280">
          <a:extLst>
            <a:ext uri="{FF2B5EF4-FFF2-40B4-BE49-F238E27FC236}">
              <a16:creationId xmlns:a16="http://schemas.microsoft.com/office/drawing/2014/main" id="{00000000-0008-0000-0700-0000F0F25300}"/>
            </a:ext>
          </a:extLst>
        </xdr:cNvPr>
        <xdr:cNvSpPr>
          <a:spLocks noChangeShapeType="1"/>
        </xdr:cNvSpPr>
      </xdr:nvSpPr>
      <xdr:spPr bwMode="auto">
        <a:xfrm>
          <a:off x="14878050" y="5137150"/>
          <a:ext cx="76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1047750</xdr:colOff>
      <xdr:row>20</xdr:row>
      <xdr:rowOff>0</xdr:rowOff>
    </xdr:from>
    <xdr:to>
      <xdr:col>18</xdr:col>
      <xdr:colOff>158750</xdr:colOff>
      <xdr:row>30</xdr:row>
      <xdr:rowOff>44450</xdr:rowOff>
    </xdr:to>
    <xdr:sp macro="" textlink="">
      <xdr:nvSpPr>
        <xdr:cNvPr id="5501681" name="Rectangle 139">
          <a:extLst>
            <a:ext uri="{FF2B5EF4-FFF2-40B4-BE49-F238E27FC236}">
              <a16:creationId xmlns:a16="http://schemas.microsoft.com/office/drawing/2014/main" id="{00000000-0008-0000-0700-0000F1F25300}"/>
            </a:ext>
          </a:extLst>
        </xdr:cNvPr>
        <xdr:cNvSpPr>
          <a:spLocks noChangeArrowheads="1"/>
        </xdr:cNvSpPr>
      </xdr:nvSpPr>
      <xdr:spPr bwMode="auto">
        <a:xfrm>
          <a:off x="14624050" y="3422650"/>
          <a:ext cx="247650" cy="1714500"/>
        </a:xfrm>
        <a:prstGeom prst="rect">
          <a:avLst/>
        </a:prstGeom>
        <a:noFill/>
        <a:ln w="9525" algn="ctr">
          <a:solidFill>
            <a:srgbClr val="00B0F0"/>
          </a:solidFill>
          <a:prstDash val="sysDash"/>
          <a:round/>
          <a:headEnd/>
          <a:tailEnd/>
        </a:ln>
      </xdr:spPr>
    </xdr:sp>
    <xdr:clientData/>
  </xdr:twoCellAnchor>
  <xdr:twoCellAnchor>
    <xdr:from>
      <xdr:col>18</xdr:col>
      <xdr:colOff>927100</xdr:colOff>
      <xdr:row>1</xdr:row>
      <xdr:rowOff>12700</xdr:rowOff>
    </xdr:from>
    <xdr:to>
      <xdr:col>18</xdr:col>
      <xdr:colOff>927100</xdr:colOff>
      <xdr:row>29</xdr:row>
      <xdr:rowOff>69850</xdr:rowOff>
    </xdr:to>
    <xdr:sp macro="" textlink="">
      <xdr:nvSpPr>
        <xdr:cNvPr id="5501682" name="Line 270">
          <a:extLst>
            <a:ext uri="{FF2B5EF4-FFF2-40B4-BE49-F238E27FC236}">
              <a16:creationId xmlns:a16="http://schemas.microsoft.com/office/drawing/2014/main" id="{00000000-0008-0000-0700-0000F2F25300}"/>
            </a:ext>
          </a:extLst>
        </xdr:cNvPr>
        <xdr:cNvSpPr>
          <a:spLocks noChangeShapeType="1"/>
        </xdr:cNvSpPr>
      </xdr:nvSpPr>
      <xdr:spPr bwMode="auto">
        <a:xfrm flipH="1">
          <a:off x="15640050" y="184150"/>
          <a:ext cx="0" cy="48069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12700</xdr:colOff>
      <xdr:row>33</xdr:row>
      <xdr:rowOff>95250</xdr:rowOff>
    </xdr:from>
    <xdr:to>
      <xdr:col>17</xdr:col>
      <xdr:colOff>520700</xdr:colOff>
      <xdr:row>33</xdr:row>
      <xdr:rowOff>95250</xdr:rowOff>
    </xdr:to>
    <xdr:sp macro="" textlink="">
      <xdr:nvSpPr>
        <xdr:cNvPr id="5501683" name="Line 301">
          <a:extLst>
            <a:ext uri="{FF2B5EF4-FFF2-40B4-BE49-F238E27FC236}">
              <a16:creationId xmlns:a16="http://schemas.microsoft.com/office/drawing/2014/main" id="{00000000-0008-0000-0700-0000F3F25300}"/>
            </a:ext>
          </a:extLst>
        </xdr:cNvPr>
        <xdr:cNvSpPr>
          <a:spLocks noChangeShapeType="1"/>
        </xdr:cNvSpPr>
      </xdr:nvSpPr>
      <xdr:spPr bwMode="auto">
        <a:xfrm>
          <a:off x="13589000" y="5702300"/>
          <a:ext cx="5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787400</xdr:colOff>
      <xdr:row>1</xdr:row>
      <xdr:rowOff>19050</xdr:rowOff>
    </xdr:from>
    <xdr:to>
      <xdr:col>18</xdr:col>
      <xdr:colOff>787400</xdr:colOff>
      <xdr:row>30</xdr:row>
      <xdr:rowOff>38100</xdr:rowOff>
    </xdr:to>
    <xdr:sp macro="" textlink="">
      <xdr:nvSpPr>
        <xdr:cNvPr id="5501684" name="Line 270">
          <a:extLst>
            <a:ext uri="{FF2B5EF4-FFF2-40B4-BE49-F238E27FC236}">
              <a16:creationId xmlns:a16="http://schemas.microsoft.com/office/drawing/2014/main" id="{00000000-0008-0000-0700-0000F4F25300}"/>
            </a:ext>
          </a:extLst>
        </xdr:cNvPr>
        <xdr:cNvSpPr>
          <a:spLocks noChangeShapeType="1"/>
        </xdr:cNvSpPr>
      </xdr:nvSpPr>
      <xdr:spPr bwMode="auto">
        <a:xfrm>
          <a:off x="15500350" y="190500"/>
          <a:ext cx="0" cy="49403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planete-sciences.org/espace/basedoc/" TargetMode="External"/><Relationship Id="rId1" Type="http://schemas.openxmlformats.org/officeDocument/2006/relationships/hyperlink" Target="http://en.wikipedia.org/wiki/Template:Numerical_integrators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espace@planete-sciences.org" TargetMode="External"/><Relationship Id="rId1" Type="http://schemas.openxmlformats.org/officeDocument/2006/relationships/hyperlink" Target="http://www.planete-sciences.org/espace/basedoc/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1:W361"/>
  <sheetViews>
    <sheetView showGridLines="0" tabSelected="1" zoomScale="85" zoomScaleNormal="85" zoomScaleSheetLayoutView="100" workbookViewId="0">
      <selection activeCell="G44" sqref="G44"/>
    </sheetView>
  </sheetViews>
  <sheetFormatPr baseColWidth="10" defaultColWidth="11.42578125" defaultRowHeight="12.75" x14ac:dyDescent="0.2"/>
  <cols>
    <col min="1" max="1" width="2.140625" style="24" customWidth="1"/>
    <col min="2" max="2" width="16.28515625" style="24" customWidth="1"/>
    <col min="3" max="3" width="12.85546875" style="31" customWidth="1"/>
    <col min="4" max="4" width="12.85546875" style="24" customWidth="1"/>
    <col min="5" max="5" width="4.140625" style="89" customWidth="1"/>
    <col min="6" max="6" width="10.140625" style="26" bestFit="1" customWidth="1"/>
    <col min="7" max="7" width="10" style="26" bestFit="1" customWidth="1"/>
    <col min="8" max="9" width="8.42578125" style="26" customWidth="1"/>
    <col min="10" max="10" width="5.42578125" style="24" customWidth="1"/>
    <col min="11" max="11" width="2.140625" style="24" customWidth="1"/>
    <col min="12" max="12" width="17" style="24" customWidth="1"/>
    <col min="13" max="13" width="8.42578125" style="24" customWidth="1"/>
    <col min="14" max="15" width="4.28515625" style="24" customWidth="1"/>
    <col min="16" max="16" width="8.42578125" style="24" customWidth="1"/>
    <col min="17" max="18" width="2.140625" style="24" customWidth="1"/>
    <col min="19" max="16384" width="11.42578125" style="24"/>
  </cols>
  <sheetData>
    <row r="1" spans="1:20" ht="12.75" customHeight="1" x14ac:dyDescent="0.2">
      <c r="A1" s="19"/>
      <c r="B1" s="20"/>
      <c r="C1" s="21"/>
      <c r="D1" s="20"/>
      <c r="E1" s="88"/>
      <c r="F1" s="22"/>
      <c r="G1" s="22"/>
      <c r="H1" s="22"/>
      <c r="I1" s="22"/>
      <c r="J1" s="20"/>
      <c r="K1" s="20"/>
      <c r="L1" s="20"/>
      <c r="M1" s="20"/>
      <c r="N1" s="20"/>
      <c r="O1" s="20"/>
      <c r="P1" s="20"/>
      <c r="Q1" s="23"/>
    </row>
    <row r="2" spans="1:20" ht="12.75" customHeight="1" x14ac:dyDescent="0.2">
      <c r="A2" s="25"/>
      <c r="C2" s="553" t="s">
        <v>54</v>
      </c>
      <c r="D2" s="553"/>
      <c r="L2" s="147" t="str">
        <f>"Language/Langue"</f>
        <v>Language/Langue</v>
      </c>
      <c r="M2" s="578" t="s">
        <v>1</v>
      </c>
      <c r="N2" s="578"/>
      <c r="O2" s="578"/>
      <c r="P2" s="579"/>
      <c r="Q2" s="27"/>
    </row>
    <row r="3" spans="1:20" ht="12.75" customHeight="1" x14ac:dyDescent="0.2">
      <c r="A3" s="25"/>
      <c r="C3" s="553"/>
      <c r="D3" s="553"/>
      <c r="L3" s="586"/>
      <c r="M3" s="586"/>
      <c r="N3" s="45"/>
      <c r="Q3" s="27"/>
    </row>
    <row r="4" spans="1:20" ht="12.75" customHeight="1" x14ac:dyDescent="0.2">
      <c r="A4" s="25"/>
      <c r="C4" s="554" t="str">
        <f>IF(Lang="Français","Stabilité de fusée à ailerons",IF(Lang="English","Stability for rocket with fins",""))</f>
        <v>Stabilité de fusée à ailerons</v>
      </c>
      <c r="D4" s="554"/>
      <c r="L4" s="33"/>
      <c r="M4" s="578" t="s">
        <v>556</v>
      </c>
      <c r="N4" s="578"/>
      <c r="O4" s="578"/>
      <c r="P4" s="579"/>
      <c r="Q4" s="27"/>
    </row>
    <row r="5" spans="1:20" ht="12.75" customHeight="1" x14ac:dyDescent="0.25">
      <c r="A5" s="25"/>
      <c r="B5" s="28"/>
      <c r="C5" s="535"/>
      <c r="D5" s="535"/>
      <c r="L5" s="33"/>
      <c r="M5" s="560" t="s">
        <v>157</v>
      </c>
      <c r="N5" s="561"/>
      <c r="O5" s="589" t="s">
        <v>158</v>
      </c>
      <c r="P5" s="589"/>
      <c r="Q5" s="29"/>
    </row>
    <row r="6" spans="1:20" ht="12.75" customHeight="1" thickBot="1" x14ac:dyDescent="0.25">
      <c r="A6" s="25"/>
      <c r="B6" s="87"/>
      <c r="C6" s="548" t="str">
        <f>IF(Lang="Français","Remplir les cases jaunes",IF(Lang="English","Fill-in yellow cells only",""))</f>
        <v>Remplir les cases jaunes</v>
      </c>
      <c r="D6" s="548"/>
      <c r="L6" s="139" t="str">
        <f>IF(Lang="Français","Longueur      'L'",IF(Lang="English","Length      'L'",""))</f>
        <v>Longueur      'L'</v>
      </c>
      <c r="M6" s="549">
        <v>50</v>
      </c>
      <c r="N6" s="550"/>
      <c r="O6" s="570">
        <v>50</v>
      </c>
      <c r="P6" s="570"/>
      <c r="Q6" s="29"/>
    </row>
    <row r="7" spans="1:20" ht="12.75" customHeight="1" thickTop="1" thickBot="1" x14ac:dyDescent="0.25">
      <c r="A7" s="25"/>
      <c r="B7" s="31"/>
      <c r="C7" s="556" t="str">
        <f>IF(Lang="Français","Fusée",IF(Lang="English","Rocket",""))</f>
        <v>Fusée</v>
      </c>
      <c r="D7" s="557"/>
      <c r="L7" s="139" t="str">
        <f>IF(Lang="Français","Diamètre     'D1'",IF(Lang="English","Diameter 'D1'",""))</f>
        <v>Diamètre     'D1'</v>
      </c>
      <c r="M7" s="549">
        <f>D_og</f>
        <v>84</v>
      </c>
      <c r="N7" s="550"/>
      <c r="O7" s="570">
        <f>D_og</f>
        <v>84</v>
      </c>
      <c r="P7" s="570"/>
      <c r="Q7" s="29"/>
    </row>
    <row r="8" spans="1:20" ht="12.75" customHeight="1" thickTop="1" x14ac:dyDescent="0.2">
      <c r="A8" s="25"/>
      <c r="B8" s="138" t="str">
        <f>IF(Lang="Français","Nom",IF(Lang="English","Name",""))</f>
        <v>Nom</v>
      </c>
      <c r="C8" s="551" t="s">
        <v>557</v>
      </c>
      <c r="D8" s="551"/>
      <c r="E8" s="90"/>
      <c r="K8" s="33"/>
      <c r="L8" s="139" t="str">
        <f>IF(Lang="Français","Diamètre     'D2'",IF(Lang="English","Diameter 'D2'",""))</f>
        <v>Diamètre     'D2'</v>
      </c>
      <c r="M8" s="549">
        <v>64</v>
      </c>
      <c r="N8" s="550"/>
      <c r="O8" s="570">
        <v>45</v>
      </c>
      <c r="P8" s="570"/>
      <c r="Q8" s="29"/>
    </row>
    <row r="9" spans="1:20" ht="12.75" customHeight="1" x14ac:dyDescent="0.2">
      <c r="A9" s="25"/>
      <c r="B9" s="138" t="s">
        <v>4</v>
      </c>
      <c r="C9" s="552" t="s">
        <v>558</v>
      </c>
      <c r="D9" s="552"/>
      <c r="E9" s="90"/>
      <c r="K9" s="33"/>
      <c r="L9" s="139" t="str">
        <f>IF(Lang="Français","Implantation 'x'",IF(Lang="English","Basement 'x'",""))</f>
        <v>Implantation 'x'</v>
      </c>
      <c r="M9" s="549">
        <v>500</v>
      </c>
      <c r="N9" s="550"/>
      <c r="O9" s="570">
        <f>XpropuRef-l_r</f>
        <v>1200</v>
      </c>
      <c r="P9" s="570"/>
      <c r="Q9" s="29"/>
    </row>
    <row r="10" spans="1:20" ht="12.75" customHeight="1" x14ac:dyDescent="0.2">
      <c r="A10" s="25"/>
      <c r="B10" s="139" t="s">
        <v>55</v>
      </c>
      <c r="C10" s="558" t="s">
        <v>559</v>
      </c>
      <c r="D10" s="559"/>
      <c r="E10" s="90"/>
      <c r="K10" s="33"/>
      <c r="Q10" s="29"/>
    </row>
    <row r="11" spans="1:20" ht="12.75" customHeight="1" x14ac:dyDescent="0.2">
      <c r="A11" s="25"/>
      <c r="B11" s="139" t="str">
        <f>IF(Lang="Français","Masse",IF(Lang="English","Weight",""))</f>
        <v>Masse</v>
      </c>
      <c r="C11" s="222">
        <v>5000</v>
      </c>
      <c r="D11" s="34" t="s">
        <v>423</v>
      </c>
      <c r="E11" s="90"/>
      <c r="K11" s="33"/>
      <c r="L11" s="107"/>
      <c r="M11" s="224" t="str">
        <f>IF(Lang="Français","Propu plein",IF(Lang="English","Loaded Motor",""))</f>
        <v>Propu plein</v>
      </c>
      <c r="N11" s="587" t="str">
        <f>IF(Lang="Français","Propu vide",IF(Lang="English","Empty Motor",""))</f>
        <v>Propu vide</v>
      </c>
      <c r="O11" s="588"/>
      <c r="P11" s="224" t="str">
        <f>IF(Lang="Français","Sans propu",IF(Lang="English","Without M",""))</f>
        <v>Sans propu</v>
      </c>
      <c r="Q11" s="29"/>
      <c r="S11" s="385"/>
      <c r="T11" s="386" t="str">
        <f>IF(Lang="Français","Propulseur",IF(Lang="English","Motor",""))</f>
        <v>Propulseur</v>
      </c>
    </row>
    <row r="12" spans="1:20" ht="12.75" customHeight="1" x14ac:dyDescent="0.2">
      <c r="A12" s="25"/>
      <c r="B12" s="139" t="str">
        <f>IF(Lang="Français","Centre de Masse",IF(Lang="English","Center of Mass",""))</f>
        <v>Centre de Masse</v>
      </c>
      <c r="C12" s="35">
        <v>600</v>
      </c>
      <c r="D12" s="34" t="s">
        <v>423</v>
      </c>
      <c r="L12" s="108" t="str">
        <f>IF(Lang="Français","Masse propu",IF(Lang="English","Motor Mass",""))</f>
        <v>Masse propu</v>
      </c>
      <c r="M12" s="109">
        <f ca="1">MpropuPlein</f>
        <v>1.6850000000000001</v>
      </c>
      <c r="N12" s="582">
        <f ca="1">MpropuVide</f>
        <v>0.65200000000000002</v>
      </c>
      <c r="O12" s="583"/>
      <c r="P12" s="110" t="s">
        <v>14</v>
      </c>
      <c r="Q12" s="29"/>
      <c r="S12" s="386" t="str">
        <f>IF(Lang="Français","Haut",IF(Lang="English","Top",""))</f>
        <v>Haut</v>
      </c>
      <c r="T12" s="387">
        <f ca="1">XpropuRef-Long_propu</f>
        <v>762</v>
      </c>
    </row>
    <row r="13" spans="1:20" ht="12.75" customHeight="1" x14ac:dyDescent="0.2">
      <c r="A13" s="25"/>
      <c r="B13" s="139" t="str">
        <f>IF(Lang="Français","Longueur totale",IF(Lang="English","Total length",""))</f>
        <v>Longueur totale</v>
      </c>
      <c r="C13" s="549">
        <v>1300</v>
      </c>
      <c r="D13" s="550"/>
      <c r="L13" s="108" t="str">
        <f>IF(Lang="Français","CdM propu",IF(Lang="English","Motor CoM",""))</f>
        <v>CdM propu</v>
      </c>
      <c r="M13" s="111">
        <f ca="1">XpropuPlein</f>
        <v>250</v>
      </c>
      <c r="N13" s="580">
        <f ca="1">XpropuVide</f>
        <v>240</v>
      </c>
      <c r="O13" s="581"/>
      <c r="P13" s="110" t="s">
        <v>14</v>
      </c>
      <c r="Q13" s="29"/>
      <c r="S13" s="386" t="str">
        <f>IF(Lang="Français","Longueur",IF(Lang="English","Length",""))</f>
        <v>Longueur</v>
      </c>
      <c r="T13" s="387">
        <f ca="1">Long_propu</f>
        <v>488</v>
      </c>
    </row>
    <row r="14" spans="1:20" ht="12.75" customHeight="1" x14ac:dyDescent="0.2">
      <c r="A14" s="25"/>
      <c r="B14" s="139" t="str">
        <f>IF(Lang="Français","Diamètre Réf.",IF(Lang="English","Ref. Diameter",""))</f>
        <v>Diamètre Réf.</v>
      </c>
      <c r="C14" s="549">
        <f>D_og</f>
        <v>84</v>
      </c>
      <c r="D14" s="550"/>
      <c r="L14" s="108" t="str">
        <f>IF(Lang="Français","Masse fusée",IF(Lang="English","Rocket Mass",""))</f>
        <v>Masse fusée</v>
      </c>
      <c r="M14" s="112">
        <f ca="1">MasseSans+MpropuPlein</f>
        <v>6.6850000000000005</v>
      </c>
      <c r="N14" s="562">
        <f ca="1">MasseSans+MpropuVide</f>
        <v>5.6520000000000001</v>
      </c>
      <c r="O14" s="563"/>
      <c r="P14" s="109">
        <f>IF(OR(D11="sans propu",D11="without motor"),C11/1000,IF(OR(D11="avec propu vide",D11="with empty motor"),C11/1000-MpropuVide,IF(OR(D11="avec propu plein",D11="with loaded motor"),C11/1000-MpropuPlein,"Erreur")))</f>
        <v>5</v>
      </c>
      <c r="Q14" s="29"/>
      <c r="S14" s="386" t="str">
        <f>IF(Lang="Français","Bas",IF(Lang="English","Base",""))</f>
        <v>Bas</v>
      </c>
      <c r="T14" s="387">
        <f>XpropuRef</f>
        <v>1250</v>
      </c>
    </row>
    <row r="15" spans="1:20" ht="12.75" customHeight="1" thickBot="1" x14ac:dyDescent="0.25">
      <c r="A15" s="25"/>
      <c r="D15" s="31"/>
      <c r="L15" s="175" t="str">
        <f>IF(Lang="Français","CdM fusée",IF(Lang="English","Rocket CoM",""))</f>
        <v>CdM fusée</v>
      </c>
      <c r="M15" s="176">
        <f ca="1">(XcgSans*MasseSans+(XpropuRef-Long_propu+XpropuPlein)*MpropuPlein)/MassePlein</f>
        <v>703.84741959611063</v>
      </c>
      <c r="N15" s="564">
        <f ca="1">(XcgSans*MasseSans+(XpropuRef-Long_propu+XpropuVide)*MpropuVide)/MasseVide</f>
        <v>646.37367303609346</v>
      </c>
      <c r="O15" s="565"/>
      <c r="P15" s="113">
        <f>IF(OR(D12="sans propu",D12="without motor"),C12,IF(OR(D12="avec propu vide",D12="with empty motor"),(C12*MasseVide-(XpropuRef-Long_propu+XpropuVide)*MpropuVide)/MasseSans,IF(OR(D12="avec propu plein",D12="with loaded motor"),(C12*MassePlein-(XpropuRef-Long_propu+XpropuPlein)*MpropuPlein)/MasseSans,"Erreur")))</f>
        <v>600</v>
      </c>
      <c r="Q15" s="29"/>
    </row>
    <row r="16" spans="1:20" ht="12.75" customHeight="1" thickTop="1" thickBot="1" x14ac:dyDescent="0.25">
      <c r="A16" s="25"/>
      <c r="C16" s="537" t="str">
        <f>IF(Lang="Français","Propulseur",IF(Lang="English","Motor",""))</f>
        <v>Propulseur</v>
      </c>
      <c r="D16" s="538"/>
      <c r="L16" s="94"/>
      <c r="M16" s="94"/>
      <c r="N16" s="94"/>
      <c r="O16" s="94"/>
      <c r="P16" s="94"/>
      <c r="Q16" s="29"/>
      <c r="S16" s="385"/>
      <c r="T16" s="386" t="str">
        <f>IF(RIGHT(Type_masquage,1)=",",IF(Lang="Français","Ailerons","Fins"),IF(Lang="Français","Ailerons bas","Lower Fins"))</f>
        <v>Ailerons bas</v>
      </c>
    </row>
    <row r="17" spans="1:20" ht="12.75" customHeight="1" thickTop="1" x14ac:dyDescent="0.2">
      <c r="A17" s="25"/>
      <c r="B17" s="139" t="s">
        <v>55</v>
      </c>
      <c r="C17" s="539" t="s">
        <v>550</v>
      </c>
      <c r="D17" s="540"/>
      <c r="L17" s="114"/>
      <c r="M17" s="566" t="s">
        <v>56</v>
      </c>
      <c r="N17" s="567"/>
      <c r="O17" s="590" t="s">
        <v>66</v>
      </c>
      <c r="P17" s="590"/>
      <c r="Q17" s="29"/>
      <c r="S17" s="386" t="str">
        <f>IF(Lang="Français","Haut","Top")</f>
        <v>Haut</v>
      </c>
      <c r="T17" s="387">
        <f>X_ail-m_ail</f>
        <v>970</v>
      </c>
    </row>
    <row r="18" spans="1:20" ht="12.75" customHeight="1" x14ac:dyDescent="0.2">
      <c r="A18" s="25"/>
      <c r="B18" s="139" t="str">
        <f>IF(Lang="Français","Position du bas",IF(Lang="English","Basement",""))</f>
        <v>Position du bas</v>
      </c>
      <c r="C18" s="570">
        <f>Long_tot-50</f>
        <v>1250</v>
      </c>
      <c r="D18" s="570"/>
      <c r="K18" s="37"/>
      <c r="L18" s="108" t="str">
        <f>IF(Lang="Français","Coiffe",IF(Lang="English","Nose Cone",""))</f>
        <v>Coiffe</v>
      </c>
      <c r="M18" s="542">
        <f>IF(LEFT(Forme_ogive,5)="Parab",1/2*Long_ogive,IF(LEFT(Forme_ogive,4)="Ogiv",7/15*Long_ogive,IF(LEFT(Forme_ogive,3)="Con",2/3*Long_ogive)))</f>
        <v>183.33333333333331</v>
      </c>
      <c r="N18" s="543"/>
      <c r="O18" s="541">
        <f>2*POWER(D_og/D_ref, 2)</f>
        <v>2</v>
      </c>
      <c r="P18" s="541"/>
      <c r="Q18" s="29"/>
      <c r="S18" s="386" t="str">
        <f>IF(Lang="Français","Emplanture","Root edge")</f>
        <v>Emplanture</v>
      </c>
      <c r="T18" s="387">
        <f>m_ail</f>
        <v>330</v>
      </c>
    </row>
    <row r="19" spans="1:20" ht="12.75" customHeight="1" thickBot="1" x14ac:dyDescent="0.25">
      <c r="A19" s="25"/>
      <c r="B19" s="428" t="str">
        <f>IF(Propu="Cariacou","Cariacou :"," ")</f>
        <v xml:space="preserve"> </v>
      </c>
      <c r="C19" s="571" t="str">
        <f>IF(Propu="Pandora (Pro24-6G)",IF(Lang="Français","C'Space Seulement",IF(Lang="English","C'Space only","")),"")</f>
        <v/>
      </c>
      <c r="D19" s="571"/>
      <c r="L19" s="108" t="str">
        <f>IF(Lang="Français","Ailerons",IF(Lang="English","Fins",""))</f>
        <v>Ailerons</v>
      </c>
      <c r="M19" s="542">
        <f>(XCpa*Cnail-0.5*XCpi*Cni)/Cnai</f>
        <v>1101.4583333333335</v>
      </c>
      <c r="N19" s="543"/>
      <c r="O19" s="544">
        <f>Cnail-Cni/2</f>
        <v>13.99127552107595</v>
      </c>
      <c r="P19" s="545"/>
      <c r="Q19" s="29"/>
      <c r="S19" s="386" t="str">
        <f>IF(Lang="Français","Bas","Base")</f>
        <v>Bas</v>
      </c>
      <c r="T19" s="387">
        <f>X_ail</f>
        <v>1300</v>
      </c>
    </row>
    <row r="20" spans="1:20" ht="12.75" customHeight="1" thickTop="1" thickBot="1" x14ac:dyDescent="0.25">
      <c r="A20" s="25"/>
      <c r="B20" s="30"/>
      <c r="C20" s="546" t="str">
        <f>IF(Lang="Français","Coiffe",IF(Lang="English","Nose Cone",""))</f>
        <v>Coiffe</v>
      </c>
      <c r="D20" s="547"/>
      <c r="L20" s="108" t="str">
        <f>IF(Lang="Français","Ail bas entier",IF(Lang="English","Total Lower Fins",""))</f>
        <v>Ail bas entier</v>
      </c>
      <c r="M20" s="542">
        <f>X_ail-m_ail+p_ail*(m_ail+2*n_ail)/(3*(m_ail+n_ail))+(m_ail+n_ail-m_ail*n_ail/(m_ail+n_ail))/6</f>
        <v>1101.4583333333335</v>
      </c>
      <c r="N20" s="543"/>
      <c r="O20" s="541">
        <f>4*Q_ail*POWER((E_ail/D_ref),2)*(1+D_ail/(2*E_ail+D_ail))/(1+SQRT(1+POWER(2*f_ail/(m_ail+n_ail),2)))</f>
        <v>13.99127552107595</v>
      </c>
      <c r="P20" s="541"/>
      <c r="Q20" s="29"/>
    </row>
    <row r="21" spans="1:20" ht="12.75" customHeight="1" thickTop="1" x14ac:dyDescent="0.2">
      <c r="A21" s="25"/>
      <c r="B21" s="139" t="str">
        <f>IF(Lang="Français","Forme",IF(Lang="English","Shape",""))</f>
        <v>Forme</v>
      </c>
      <c r="C21" s="572" t="s">
        <v>555</v>
      </c>
      <c r="D21" s="573"/>
      <c r="L21" s="108" t="str">
        <f>IF(Lang="Français","Ailerons haut",IF(Lang="English","Upper Fins",""))</f>
        <v>Ailerons haut</v>
      </c>
      <c r="M21" s="542">
        <f>IF(LEFT(Type_masquage,1)="M",0, X_can-m_can+p_can*(m_can+2*n_can)/(3*(m_can+n_can))+(m_can+n_can-m_can*n_can/(m_can+n_can))/6)</f>
        <v>0</v>
      </c>
      <c r="N21" s="543"/>
      <c r="O21" s="541">
        <f>IF(LEFT(Type_masquage,1)="M",0, 4*Q_can*POWER((E_can/D_ref),2)*(1+D_can/(2*E_can+D_can))/(1+SQRT(1+POWER(2*f_can/(m_can+n_can),2))))</f>
        <v>0</v>
      </c>
      <c r="P21" s="541"/>
      <c r="Q21" s="29"/>
    </row>
    <row r="22" spans="1:20" ht="12.75" customHeight="1" x14ac:dyDescent="0.2">
      <c r="A22" s="25"/>
      <c r="B22" s="139" t="str">
        <f>IF(Lang="Français","Hauteur",IF(Lang="English","Heigth",""))</f>
        <v>Hauteur</v>
      </c>
      <c r="C22" s="549">
        <v>275</v>
      </c>
      <c r="D22" s="550"/>
      <c r="L22" s="108" t="str">
        <f>IF(Lang="Français","Partie masquée",IF(Lang="English","Interation zone",""))</f>
        <v>Partie masquée</v>
      </c>
      <c r="M22" s="555">
        <f>IF(LEFT(Type_masquage,1)="B", X_int-m_int+p_int*(m_int+2*n_int)/(3*(m_int+n_int))+(m_int+n_int-m_int*n_int/(m_int+n_int))/6, 0 )</f>
        <v>0</v>
      </c>
      <c r="N22" s="555"/>
      <c r="O22" s="544">
        <f>IF(LEFT(Type_masquage,1)="B", 4*Q_int*POWER((E_int/D_ref),2)*(1+D_int/(2*E_int+D_int))/(1+SQRT(1+POWER(2*f_int/(m_int+n_int),2))), 0 )</f>
        <v>0</v>
      </c>
      <c r="P22" s="545"/>
      <c r="Q22" s="29"/>
    </row>
    <row r="23" spans="1:20" ht="12.75" customHeight="1" x14ac:dyDescent="0.2">
      <c r="A23" s="25"/>
      <c r="B23" s="139" t="str">
        <f>IF(Lang="Français","Diamètre",IF(Lang="English","Diameter",""))</f>
        <v>Diamètre</v>
      </c>
      <c r="C23" s="549">
        <v>84</v>
      </c>
      <c r="D23" s="550"/>
      <c r="L23" s="108" t="s">
        <v>157</v>
      </c>
      <c r="M23" s="542">
        <f>IF(OR(RIGHT(Nb_diam,1)=",",D2j=0),0, X_j+l_j/3*(1+1/(1+D1j/D2j)) )</f>
        <v>0</v>
      </c>
      <c r="N23" s="543"/>
      <c r="O23" s="541">
        <f>IF(OR(RIGHT(Nb_diam,1)=",",D2j=0),0,2*(POWER(D2j/D_ref,2)-POWER(D1j/D_ref,2)))</f>
        <v>0</v>
      </c>
      <c r="P23" s="541"/>
      <c r="Q23" s="29"/>
    </row>
    <row r="24" spans="1:20" ht="12.75" customHeight="1" thickBot="1" x14ac:dyDescent="0.25">
      <c r="A24" s="25"/>
      <c r="L24" s="108" t="s">
        <v>158</v>
      </c>
      <c r="M24" s="542">
        <f>IF( OR(RIGHT(Nb_diam,1)=",",D2r=0), 0, X_r+l_r/3*(1+1/(1+D1r/D2r)) )</f>
        <v>0</v>
      </c>
      <c r="N24" s="543"/>
      <c r="O24" s="541">
        <f>IF( OR(RIGHT(Nb_diam,1)=",",D2r=0), 0, 2*(POWER(D2r/D_ref,2)-POWER(D1r/D_ref,2)) )</f>
        <v>0</v>
      </c>
      <c r="P24" s="541"/>
      <c r="Q24" s="29"/>
    </row>
    <row r="25" spans="1:20" ht="12.75" customHeight="1" thickTop="1" thickBot="1" x14ac:dyDescent="0.25">
      <c r="A25" s="25"/>
      <c r="B25" s="30"/>
      <c r="C25" s="178" t="str">
        <f>IF(LEFT(Type_masquage,1)="M",IF(Lang="Français","Ailerons","Fins"),IF(Lang="Français","Ailerons bas","Lower Fins"))</f>
        <v>Ailerons</v>
      </c>
      <c r="D25" s="179" t="str">
        <f>IF(Lang="Français","Ailerons haut",IF(Lang="English","Upper Fins",""))</f>
        <v>Ailerons haut</v>
      </c>
      <c r="E25" s="180" t="s">
        <v>152</v>
      </c>
      <c r="L25" s="38"/>
      <c r="M25" s="38"/>
      <c r="N25" s="38"/>
      <c r="Q25" s="29"/>
      <c r="R25" s="38"/>
      <c r="S25" s="388" t="str">
        <f ca="1">IF(AND(Portee_balistique&gt;200,LEFT(Type_propu,3)="Min"),IF(Lang="Français","Fusée trop lègère !","Rocket too light"),"")</f>
        <v/>
      </c>
    </row>
    <row r="26" spans="1:20" ht="12.75" customHeight="1" thickTop="1" x14ac:dyDescent="0.2">
      <c r="A26" s="25"/>
      <c r="B26" s="30"/>
      <c r="C26" s="568" t="s">
        <v>424</v>
      </c>
      <c r="D26" s="569"/>
      <c r="F26" s="39">
        <f ca="1">TODAY()</f>
        <v>45781</v>
      </c>
      <c r="G26" s="137" t="s">
        <v>63</v>
      </c>
      <c r="H26" s="536" t="str">
        <f>IF(Lang="Français","Résultats",IF(Lang="English","Results",""))</f>
        <v>Résultats</v>
      </c>
      <c r="I26" s="536"/>
      <c r="J26" s="137" t="s">
        <v>64</v>
      </c>
      <c r="K26" s="32"/>
      <c r="L26" s="38"/>
      <c r="M26" s="38"/>
      <c r="N26" s="38"/>
      <c r="Q26" s="29"/>
      <c r="R26" s="38"/>
      <c r="S26" s="388" t="e">
        <f ca="1">IF(AND(Vsortie_de_rampe&lt;18, OR(LEFT(Type_fusee,1)=",",LEFT(Type_fusee,4)="Mini",LEFT(Type_fusee,1)="R")),IF(Lang="Français","Fusée trop lourde ou rampe trop courte !","Rocket too heavy or launch pad too small!"),"")</f>
        <v>#N/A</v>
      </c>
    </row>
    <row r="27" spans="1:20" ht="12.75" customHeight="1" x14ac:dyDescent="0.2">
      <c r="A27" s="25"/>
      <c r="B27" s="526" t="str">
        <f>IF(Lang="Français"," Emplanture  'm'",IF(Lang="English"," Root edge  'm'",""))</f>
        <v xml:space="preserve"> Emplanture  'm'</v>
      </c>
      <c r="C27" s="177">
        <v>330</v>
      </c>
      <c r="D27" s="177">
        <v>70</v>
      </c>
      <c r="E27" s="146">
        <f>m_ail</f>
        <v>330</v>
      </c>
      <c r="F27" s="105" t="s">
        <v>65</v>
      </c>
      <c r="G27" s="104">
        <f>IF(RIGHT(Type_fusee,1)=".",10, IF(OR(LEFT(Type_fusee,1)="R",LEFT(Type_fusee,1)=",",LEFT(Type_fusee,4)="Mini"),10, IF(LEFT(Type_fusee,5)="Micro",10, IF(RIGHT(Type_fusee,1)=" ",1))))</f>
        <v>10</v>
      </c>
      <c r="H27" s="584">
        <f>Long_tot/D_ref</f>
        <v>15.476190476190476</v>
      </c>
      <c r="I27" s="585"/>
      <c r="J27" s="104">
        <f>IF(RIGHT(Type_fusee,1)=".",35, IF(OR(LEFT(Type_fusee,1)="R",LEFT(Type_fusee,1)=",",LEFT(Type_fusee,4)="Mini"),20, IF(LEFT(Type_fusee,5)="Micro",30, IF(RIGHT(Type_fusee,1)=" ",100))))</f>
        <v>35</v>
      </c>
      <c r="K27" s="32"/>
      <c r="L27" s="38"/>
      <c r="M27" s="38"/>
      <c r="N27" s="38"/>
      <c r="Q27" s="29"/>
      <c r="R27" s="38"/>
      <c r="S27" s="388" t="str">
        <f>IF(Finesse&lt;CritFinessemin, IF(Lang="Français","Fusée trop courte !","Rocket too short!"), "" ) &amp; IF(Finesse&gt;CritFinessemax, IF(Lang="Français","Fusée trop longue !","Rocket too long!"), "" )</f>
        <v/>
      </c>
    </row>
    <row r="28" spans="1:20" ht="12.75" customHeight="1" x14ac:dyDescent="0.2">
      <c r="A28" s="25"/>
      <c r="B28" s="526" t="str">
        <f>IF(Lang="Français"," Saumon       'n'",IF(Lang="English"," Tip edge    'n'",""))</f>
        <v xml:space="preserve"> Saumon       'n'</v>
      </c>
      <c r="C28" s="35">
        <v>70</v>
      </c>
      <c r="D28" s="35">
        <v>10</v>
      </c>
      <c r="E28" s="146">
        <f>n_ail+(m_ail-n_ail)*(1-E_int/E_ail)</f>
        <v>221.66666666666666</v>
      </c>
      <c r="F28" s="105" t="str">
        <f>IF(Lang="Français","Portance","Lift")</f>
        <v>Portance</v>
      </c>
      <c r="G28" s="104">
        <f>IF(RIGHT(Type_fusee,1)=".",15,IF(OR(LEFT(Type_fusee,1)="R",LEFT(Type_fusee,1)=",",LEFT(Type_fusee,4)="Mini"),15, IF(LEFT(Type_fusee,5)="Micro",15, IF(RIGHT(Type_fusee,1)=" ",15))))</f>
        <v>15</v>
      </c>
      <c r="H28" s="510">
        <f>Cnai+Cnc+Cno+Cnj+Cnr</f>
        <v>15.99127552107595</v>
      </c>
      <c r="I28" s="510">
        <f>Cnail+Cnc+Cno+Cnj+Cnr</f>
        <v>15.99127552107595</v>
      </c>
      <c r="J28" s="104">
        <f>IF(RIGHT(Type_fusee,1)=".",40, IF(OR(LEFT(Type_fusee,1)="R",LEFT(Type_fusee,1)=",",LEFT(Type_fusee,4)="Mini"),30, IF(LEFT(Type_fusee,5)="Micro",30, IF(RIGHT(Type_fusee,1)=" ",30))))</f>
        <v>40</v>
      </c>
      <c r="K28" s="32"/>
      <c r="L28" s="38"/>
      <c r="M28" s="38"/>
      <c r="N28" s="38"/>
      <c r="Q28" s="29"/>
      <c r="R28" s="38"/>
      <c r="S28" s="388" t="str">
        <f>IF(Cn&lt;CritCnmin, IF(Lang="Français","Ailerons trop petits !","Fins too small!"), "" ) &amp; IF(Cn&gt;CritCnmax, IF(Lang="Français","Ailerons trop grands !","Fins too big!"), "" )</f>
        <v/>
      </c>
    </row>
    <row r="29" spans="1:20" ht="12.75" customHeight="1" x14ac:dyDescent="0.2">
      <c r="A29" s="25"/>
      <c r="B29" s="526" t="str">
        <f>IF(Lang="Français"," Flèche          'p'"," Offset         'p'")</f>
        <v xml:space="preserve"> Flèche          'p'</v>
      </c>
      <c r="C29" s="35">
        <v>190</v>
      </c>
      <c r="D29" s="35">
        <v>40</v>
      </c>
      <c r="E29" s="146">
        <f>p_ail*E_int/E_ail</f>
        <v>79.166666666666671</v>
      </c>
      <c r="F29" s="517" t="str">
        <f>IF(Lang="Français","MargeStat.","StatMargin")</f>
        <v>MargeStat.</v>
      </c>
      <c r="G29" s="512">
        <f>IF(RIGHT(Type_fusee,1)=".",2, IF(OR(LEFT(Type_fusee,1)="R",LEFT(Type_fusee,1)=",",LEFT(Type_fusee,4)="Mini"),1.5, IF(LEFT(Type_fusee,5)="Micro",1, IF(RIGHT(Type_fusee,1)=" ",1))))</f>
        <v>2</v>
      </c>
      <c r="H29" s="97">
        <f ca="1">(XCp-XcgPlein)/D_ref</f>
        <v>3.3664604190837699</v>
      </c>
      <c r="I29" s="98">
        <f ca="1">(XCp0-XcgVide)/D_ref</f>
        <v>4.0506716876554023</v>
      </c>
      <c r="J29" s="512">
        <f>IF(RIGHT(Type_fusee,1)=".",6, IF(OR(LEFT(Type_fusee,1)="R",LEFT(Type_fusee,1)=",",LEFT(Type_fusee,4)="Mini"),6, IF(LEFT(Type_fusee,5)="Micro",3, IF(RIGHT(Type_fusee,1)=" ",3))))</f>
        <v>6</v>
      </c>
      <c r="K29" s="32"/>
      <c r="Q29" s="29"/>
      <c r="R29" s="38"/>
      <c r="S29" s="388" t="str">
        <f ca="1">IF(MS_min&lt;CritMsmin, IF(Lang="Français","Abaisser les ailerons ou rehausser le CdM !","Lower the fins or move up the center of mass!"), "" ) &amp; IF(MS_max&gt;CritMsmax, IF(Lang="Français","Rehausser les ailerons ou abaisser le CdM !","Move up the fins or lower the center of mass!"), "" )</f>
        <v/>
      </c>
    </row>
    <row r="30" spans="1:20" ht="12.75" customHeight="1" x14ac:dyDescent="0.2">
      <c r="A30" s="25"/>
      <c r="B30" s="526" t="str">
        <f>IF(Lang="Français"," Envergure     'E'",IF(Lang="English"," Span          'E'",""))</f>
        <v xml:space="preserve"> Envergure     'E'</v>
      </c>
      <c r="C30" s="35">
        <v>120</v>
      </c>
      <c r="D30" s="35">
        <v>50</v>
      </c>
      <c r="E30" s="146">
        <f>IF(D_can/2+E_can&lt;=D_ail/2,0, IF(D_can/2+E_can&gt;=D_ail/2+E_ail,E_ail,  D_can/2+E_can - D_ail/2  ) )</f>
        <v>50</v>
      </c>
      <c r="F30" s="518" t="str">
        <f>IF(Lang="Français","Couple","Torque")</f>
        <v>Couple</v>
      </c>
      <c r="G30" s="513">
        <f>IF(RIGHT(Type_fusee,1)=".",40, IF(OR(LEFT(Type_fusee,1)="R",LEFT(Type_fusee,1)=",",LEFT(Type_fusee,4)="Mini"),30, IF(LEFT(Type_fusee,5)="Micro",15, IF(RIGHT(Type_fusee,1)=" ",15))))</f>
        <v>40</v>
      </c>
      <c r="H30" s="99">
        <f ca="1">MS_min*Cn</f>
        <v>53.833996092365375</v>
      </c>
      <c r="I30" s="96">
        <f ca="1">MS_max*Cn0</f>
        <v>64.775407002719248</v>
      </c>
      <c r="J30" s="513">
        <f>IF(RIGHT(Type_fusee,1)=".",100, IF(OR(LEFT(Type_fusee,1)="R",LEFT(Type_fusee,1)=",",LEFT(Type_fusee,4)="Mini"),100, IF(LEFT(Type_fusee,5)="Micro",100, IF(RIGHT(Type_fusee,1)=" ",90))))</f>
        <v>100</v>
      </c>
      <c r="K30" s="32"/>
      <c r="Q30" s="29"/>
      <c r="R30" s="38"/>
      <c r="S30" s="388" t="str">
        <f ca="1">IF(MS_Cn_min&lt;CritMsCnmin, IF(Lang="Français","Ailerons trop petits ou trop haut /CdM !","Fins too small or too high /CoM!"), "" ) &amp; IF(MS_Cn_max&gt;CritMsCnmax, IF(Lang="Français","Ailerons trop grands ou trop bas  /CdM !","Fins too big or too low / CoM!"), "" )</f>
        <v/>
      </c>
    </row>
    <row r="31" spans="1:20" ht="12.75" customHeight="1" x14ac:dyDescent="0.2">
      <c r="A31" s="25"/>
      <c r="B31" s="527" t="str">
        <f>IF(Lang="Français"," Epaisseur     'ep'",IF(Lang="English"," Thickness  'ep'",""))</f>
        <v xml:space="preserve"> Epaisseur     'ep'</v>
      </c>
      <c r="C31" s="35">
        <v>3</v>
      </c>
      <c r="D31" s="35">
        <v>2</v>
      </c>
      <c r="E31" s="146">
        <f>ep_ail</f>
        <v>3</v>
      </c>
      <c r="F31" s="106" t="s">
        <v>56</v>
      </c>
      <c r="G31" s="103"/>
      <c r="H31" s="511">
        <f>(Cnai*XCpai+Cnc*XCpc+Cnj*XCpj+Cnr*XCpr+Cno*XCpo)/(Cnai+Cnc+Cnr+Cnj+Cno)</f>
        <v>986.63009479914729</v>
      </c>
      <c r="I31" s="511">
        <f>(Cnail*XCpa+Cnc*XCpc+Cnj*XCpj+Cnr*XCpr+Cno*XCpo)/(Cnail+Cnc+Cnr+Cnj+Cno)</f>
        <v>986.63009479914729</v>
      </c>
      <c r="J31" s="102"/>
      <c r="K31" s="32"/>
      <c r="Q31" s="29"/>
      <c r="R31" s="38"/>
      <c r="S31" s="388"/>
    </row>
    <row r="32" spans="1:20" ht="12.75" customHeight="1" x14ac:dyDescent="0.2">
      <c r="A32" s="25"/>
      <c r="B32" s="526" t="str">
        <f>IF(Lang="Français"," Nombre            ",IF(Lang="English"," Number of fins",""))</f>
        <v xml:space="preserve"> Nombre            </v>
      </c>
      <c r="C32" s="36">
        <v>3</v>
      </c>
      <c r="D32" s="36">
        <v>4</v>
      </c>
      <c r="E32" s="146" t="b">
        <f>IF(Q_ail=Q_can,Q_ail,FALSE)</f>
        <v>0</v>
      </c>
      <c r="F32" s="106" t="s">
        <v>67</v>
      </c>
      <c r="G32" s="103"/>
      <c r="H32" s="100">
        <f ca="1">(XCp-XcgPlein)/Long_tot*100</f>
        <v>21.752513477156665</v>
      </c>
      <c r="I32" s="101">
        <f ca="1">(XCp-XcgVide)/Long_tot*100</f>
        <v>26.173570904850298</v>
      </c>
      <c r="J32" s="102"/>
      <c r="K32" s="32"/>
      <c r="Q32" s="29"/>
      <c r="R32" s="38"/>
    </row>
    <row r="33" spans="1:23" ht="12.75" customHeight="1" x14ac:dyDescent="0.2">
      <c r="A33" s="25"/>
      <c r="B33" s="526" t="str">
        <f>IF(Lang="Français"," Position du bas",IF(Lang="English"," Basement",""))</f>
        <v xml:space="preserve"> Position du bas</v>
      </c>
      <c r="C33" s="35">
        <f>Long_tot</f>
        <v>1300</v>
      </c>
      <c r="D33" s="35">
        <v>700</v>
      </c>
      <c r="E33" s="146">
        <f>X_ail</f>
        <v>1300</v>
      </c>
      <c r="G33" s="24"/>
      <c r="H33" s="574" t="str">
        <f ca="1">IF(AND(CritCnmin&lt;Cn,Cn0&lt;CritCnmax,CritMsmin&lt;MS_min,MS_max&lt;CritMsmax,CritMsCnmin&lt;MS_Cn_min,MS_Cn_max&lt;CritMsCnmax),"STABLE",IF(OR(Cn&lt;CritCnmin,MS_min&lt;CritMsmin,MS_Cn_min&lt;CritMsCnmin),"INSTABLE",IF(Lang="Français","SURSTABLE","OVERSTABLE")))</f>
        <v>STABLE</v>
      </c>
      <c r="I33" s="575"/>
      <c r="J33" s="31"/>
      <c r="K33" s="32"/>
      <c r="Q33" s="29"/>
      <c r="R33" s="38"/>
    </row>
    <row r="34" spans="1:23" ht="12.75" customHeight="1" x14ac:dyDescent="0.2">
      <c r="A34" s="25"/>
      <c r="B34" s="526" t="str">
        <f>IF(Lang="Français"," Diamètre         ",IF(Lang="English"," Diameter at Fins",""))</f>
        <v xml:space="preserve"> Diamètre         </v>
      </c>
      <c r="C34" s="35">
        <f>D_ref</f>
        <v>84</v>
      </c>
      <c r="D34" s="35">
        <f>D_ref</f>
        <v>84</v>
      </c>
      <c r="E34" s="146">
        <f>D_ail</f>
        <v>84</v>
      </c>
      <c r="G34" s="24"/>
      <c r="H34" s="576"/>
      <c r="I34" s="577"/>
      <c r="K34" s="32"/>
      <c r="Q34" s="29"/>
      <c r="R34" s="38"/>
    </row>
    <row r="35" spans="1:23" ht="12.75" customHeight="1" x14ac:dyDescent="0.2">
      <c r="A35" s="25"/>
      <c r="B35" s="526" t="str">
        <f>IF(Lang="Français"," Ligne mi-corde f",IF(Lang="English"," Mid-chord line f",""))</f>
        <v xml:space="preserve"> Ligne mi-corde f</v>
      </c>
      <c r="C35" s="145">
        <f>SQRT(POWER(p_ail+n_ail/2-m_ail/2,2)+POWER(E_ail,2))</f>
        <v>134.16407864998737</v>
      </c>
      <c r="D35" s="145">
        <f>SQRT(POWER(p_can+n_can/2-m_can/2,2)+POWER(E_can,2))</f>
        <v>50.990195135927848</v>
      </c>
      <c r="E35" s="146">
        <f>SQRT(POWER(p_int+n_int/2-m_int/2,2)+POWER(E_int,2))</f>
        <v>55.901699437494742</v>
      </c>
      <c r="K35" s="32"/>
      <c r="Q35" s="29"/>
      <c r="R35" s="38"/>
      <c r="W35" s="24" t="str">
        <f>RIGHT(Type_fusee,1="R")</f>
        <v/>
      </c>
    </row>
    <row r="36" spans="1:23" ht="12.75" customHeight="1" thickBot="1" x14ac:dyDescent="0.25">
      <c r="A36" s="40"/>
      <c r="B36" s="182" t="str">
        <f>IF(Lang="Français","Commentaire libre :",IF(Lang="English","Free comment:",""))</f>
        <v>Commentaire libre :</v>
      </c>
      <c r="C36" s="41"/>
      <c r="D36" s="42"/>
      <c r="E36" s="91"/>
      <c r="F36" s="67"/>
      <c r="G36" s="67"/>
      <c r="H36" s="67"/>
      <c r="I36" s="67"/>
      <c r="J36" s="42"/>
      <c r="K36" s="42"/>
      <c r="L36" s="389" t="s">
        <v>269</v>
      </c>
      <c r="M36" s="392" t="str">
        <f>IF(ROUND(SUM(Propu!5:1228),0)=395253,"propu OK","propu NOK")</f>
        <v>propu OK</v>
      </c>
      <c r="N36" s="391" t="str">
        <f>IF(Lang="Français","fichier initial","Initial file")</f>
        <v>fichier initial</v>
      </c>
      <c r="O36" s="392"/>
      <c r="P36" s="390"/>
      <c r="Q36" s="291" t="s">
        <v>544</v>
      </c>
      <c r="R36" s="38"/>
    </row>
    <row r="37" spans="1:23" ht="12.75" customHeight="1" x14ac:dyDescent="0.2">
      <c r="R37" s="43"/>
    </row>
    <row r="38" spans="1:23" x14ac:dyDescent="0.2">
      <c r="L38" s="226" t="str">
        <f>IF(Lang="Français","Maintenant que votre fusée est stable, vérifiez sa trajectoire via la feuille","Now your rocket is stable, check its trajectory on sheet")</f>
        <v>Maintenant que votre fusée est stable, vérifiez sa trajectoire via la feuille</v>
      </c>
      <c r="M38" s="483" t="s">
        <v>181</v>
      </c>
    </row>
    <row r="39" spans="1:23" x14ac:dyDescent="0.2">
      <c r="H39" s="87"/>
      <c r="O39" s="26"/>
      <c r="P39" s="26"/>
    </row>
    <row r="40" spans="1:23" x14ac:dyDescent="0.2">
      <c r="F40" s="24"/>
      <c r="H40" s="43"/>
      <c r="I40" s="44"/>
      <c r="J40" s="43"/>
      <c r="N40" s="43"/>
      <c r="Q40" s="43"/>
      <c r="S40" s="508"/>
    </row>
    <row r="41" spans="1:23" x14ac:dyDescent="0.2">
      <c r="F41" s="24"/>
      <c r="G41" s="505"/>
      <c r="H41" s="506"/>
      <c r="I41" s="44"/>
      <c r="J41" s="43"/>
      <c r="N41" s="43"/>
      <c r="Q41" s="43"/>
      <c r="R41" s="43"/>
    </row>
    <row r="42" spans="1:23" x14ac:dyDescent="0.2">
      <c r="F42" s="24"/>
      <c r="H42" s="43"/>
      <c r="I42" s="44"/>
      <c r="J42" s="43"/>
      <c r="N42" s="43"/>
      <c r="Q42" s="43"/>
      <c r="R42" s="43"/>
    </row>
    <row r="43" spans="1:23" x14ac:dyDescent="0.2">
      <c r="F43" s="24"/>
      <c r="H43" s="43"/>
      <c r="I43" s="44"/>
      <c r="J43" s="43"/>
      <c r="N43" s="43"/>
      <c r="Q43" s="43"/>
      <c r="R43" s="43"/>
    </row>
    <row r="44" spans="1:23" x14ac:dyDescent="0.2">
      <c r="F44" s="24"/>
      <c r="H44" s="43"/>
      <c r="I44" s="44"/>
      <c r="J44" s="43"/>
      <c r="N44" s="43"/>
      <c r="Q44" s="43"/>
      <c r="R44" s="43"/>
    </row>
    <row r="45" spans="1:23" x14ac:dyDescent="0.2">
      <c r="F45" s="24"/>
      <c r="H45" s="43"/>
      <c r="I45" s="44"/>
      <c r="J45" s="43"/>
      <c r="N45" s="43"/>
      <c r="Q45" s="43"/>
      <c r="R45" s="43"/>
    </row>
    <row r="46" spans="1:23" x14ac:dyDescent="0.2">
      <c r="F46" s="24"/>
      <c r="H46" s="43"/>
      <c r="I46" s="44"/>
      <c r="J46" s="43"/>
      <c r="L46" s="43"/>
      <c r="M46" s="43"/>
      <c r="N46" s="43"/>
      <c r="Q46" s="43"/>
      <c r="R46" s="43"/>
    </row>
    <row r="47" spans="1:23" x14ac:dyDescent="0.2">
      <c r="F47" s="24"/>
      <c r="H47" s="43"/>
      <c r="I47" s="44"/>
      <c r="J47" s="43"/>
      <c r="L47" s="43"/>
      <c r="M47" s="43"/>
      <c r="N47" s="43"/>
      <c r="Q47" s="43"/>
      <c r="R47" s="43"/>
    </row>
    <row r="48" spans="1:23" x14ac:dyDescent="0.2">
      <c r="F48" s="24"/>
      <c r="H48" s="43"/>
      <c r="I48" s="44"/>
      <c r="J48" s="43"/>
      <c r="L48" s="43"/>
      <c r="M48" s="43"/>
      <c r="N48" s="43"/>
      <c r="Q48" s="43"/>
      <c r="R48" s="43"/>
    </row>
    <row r="49" spans="2:18" x14ac:dyDescent="0.2">
      <c r="F49" s="24"/>
      <c r="H49" s="43"/>
      <c r="I49" s="44"/>
      <c r="J49" s="43"/>
      <c r="L49" s="43"/>
      <c r="M49" s="43"/>
      <c r="N49" s="43"/>
      <c r="Q49" s="43"/>
      <c r="R49" s="43"/>
    </row>
    <row r="50" spans="2:18" x14ac:dyDescent="0.2">
      <c r="F50" s="24"/>
      <c r="H50" s="43"/>
      <c r="I50" s="44"/>
      <c r="J50" s="43"/>
      <c r="L50" s="43"/>
      <c r="M50" s="43"/>
      <c r="N50" s="43"/>
      <c r="Q50" s="43"/>
      <c r="R50" s="43"/>
    </row>
    <row r="51" spans="2:18" x14ac:dyDescent="0.2">
      <c r="F51" s="24"/>
      <c r="H51" s="43"/>
      <c r="I51" s="44"/>
      <c r="J51" s="43"/>
      <c r="L51" s="43"/>
      <c r="M51" s="43"/>
      <c r="N51" s="43"/>
      <c r="Q51" s="43"/>
      <c r="R51" s="43"/>
    </row>
    <row r="52" spans="2:18" x14ac:dyDescent="0.2">
      <c r="H52" s="43"/>
      <c r="I52" s="44"/>
      <c r="J52" s="43"/>
      <c r="L52" s="43"/>
      <c r="M52" s="43"/>
      <c r="N52" s="43"/>
      <c r="Q52" s="43"/>
      <c r="R52" s="43"/>
    </row>
    <row r="53" spans="2:18" x14ac:dyDescent="0.2">
      <c r="H53" s="43"/>
      <c r="I53" s="44"/>
      <c r="J53" s="43"/>
      <c r="L53" s="43"/>
      <c r="M53" s="43"/>
      <c r="N53" s="43"/>
      <c r="Q53" s="43"/>
      <c r="R53" s="43"/>
    </row>
    <row r="54" spans="2:18" x14ac:dyDescent="0.2">
      <c r="H54" s="43"/>
      <c r="I54" s="44"/>
      <c r="J54" s="43"/>
      <c r="L54" s="43"/>
      <c r="M54" s="43"/>
      <c r="N54" s="43"/>
      <c r="Q54" s="43"/>
      <c r="R54" s="43"/>
    </row>
    <row r="55" spans="2:18" x14ac:dyDescent="0.2">
      <c r="H55" s="43"/>
      <c r="I55" s="44"/>
      <c r="J55" s="43"/>
      <c r="L55" s="43"/>
      <c r="M55" s="43"/>
      <c r="N55" s="43"/>
      <c r="Q55" s="43"/>
      <c r="R55" s="43"/>
    </row>
    <row r="56" spans="2:18" x14ac:dyDescent="0.2">
      <c r="C56" s="24"/>
      <c r="H56" s="43"/>
      <c r="I56" s="44"/>
      <c r="J56" s="43"/>
      <c r="L56" s="43"/>
      <c r="M56" s="43"/>
      <c r="N56" s="43"/>
      <c r="Q56" s="43"/>
      <c r="R56" s="43"/>
    </row>
    <row r="57" spans="2:18" x14ac:dyDescent="0.2">
      <c r="H57" s="43"/>
      <c r="I57" s="44"/>
      <c r="J57" s="43"/>
      <c r="L57" s="43"/>
      <c r="M57" s="43"/>
      <c r="N57" s="43"/>
      <c r="Q57" s="43"/>
      <c r="R57" s="43"/>
    </row>
    <row r="58" spans="2:18" x14ac:dyDescent="0.2">
      <c r="B58" s="31"/>
      <c r="H58" s="43"/>
      <c r="I58" s="44"/>
      <c r="J58" s="43"/>
      <c r="L58" s="43"/>
      <c r="M58" s="43"/>
      <c r="N58" s="43"/>
      <c r="Q58" s="43"/>
      <c r="R58" s="43"/>
    </row>
    <row r="59" spans="2:18" x14ac:dyDescent="0.2">
      <c r="B59" s="31"/>
      <c r="H59" s="43"/>
      <c r="I59" s="44"/>
      <c r="J59" s="43"/>
      <c r="L59" s="43"/>
      <c r="M59" s="43"/>
      <c r="N59" s="43"/>
      <c r="Q59" s="43"/>
      <c r="R59" s="43"/>
    </row>
    <row r="60" spans="2:18" x14ac:dyDescent="0.2">
      <c r="B60" s="31"/>
      <c r="H60" s="43"/>
      <c r="I60" s="44"/>
      <c r="J60" s="43"/>
      <c r="L60" s="43"/>
      <c r="M60" s="43"/>
      <c r="N60" s="43"/>
      <c r="Q60" s="43"/>
      <c r="R60" s="43"/>
    </row>
    <row r="61" spans="2:18" x14ac:dyDescent="0.2">
      <c r="B61" s="31"/>
      <c r="H61" s="43"/>
      <c r="I61" s="44"/>
      <c r="J61" s="43"/>
      <c r="L61" s="43"/>
      <c r="M61" s="43"/>
      <c r="N61" s="43"/>
      <c r="Q61" s="43"/>
      <c r="R61" s="43"/>
    </row>
    <row r="62" spans="2:18" x14ac:dyDescent="0.2">
      <c r="B62" s="31"/>
      <c r="H62" s="43"/>
      <c r="I62" s="44"/>
      <c r="J62" s="43"/>
      <c r="L62" s="43"/>
      <c r="M62" s="43"/>
      <c r="N62" s="43"/>
      <c r="Q62" s="43"/>
      <c r="R62" s="43"/>
    </row>
    <row r="63" spans="2:18" x14ac:dyDescent="0.2">
      <c r="B63" s="31"/>
      <c r="H63" s="43"/>
      <c r="I63" s="44"/>
      <c r="J63" s="43"/>
      <c r="L63" s="43"/>
      <c r="M63" s="43"/>
      <c r="N63" s="43"/>
      <c r="Q63" s="43"/>
      <c r="R63" s="43"/>
    </row>
    <row r="64" spans="2:18" x14ac:dyDescent="0.2">
      <c r="B64" s="31"/>
      <c r="H64" s="43"/>
      <c r="I64" s="44"/>
      <c r="J64" s="43"/>
      <c r="L64" s="43"/>
      <c r="M64" s="43"/>
      <c r="N64" s="43"/>
      <c r="Q64" s="43"/>
      <c r="R64" s="43"/>
    </row>
    <row r="65" spans="2:18" x14ac:dyDescent="0.2">
      <c r="B65" s="31"/>
      <c r="H65" s="43"/>
      <c r="I65" s="44"/>
      <c r="J65" s="43"/>
      <c r="L65" s="43"/>
      <c r="M65" s="43"/>
      <c r="N65" s="43"/>
      <c r="Q65" s="43"/>
      <c r="R65" s="43"/>
    </row>
    <row r="66" spans="2:18" x14ac:dyDescent="0.2">
      <c r="B66" s="31"/>
      <c r="H66" s="43"/>
      <c r="I66" s="44"/>
      <c r="J66" s="43"/>
      <c r="L66" s="43"/>
      <c r="M66" s="43"/>
      <c r="N66" s="43"/>
      <c r="Q66" s="43"/>
      <c r="R66" s="43"/>
    </row>
    <row r="67" spans="2:18" x14ac:dyDescent="0.2">
      <c r="C67" s="24"/>
      <c r="H67" s="43"/>
      <c r="I67" s="44"/>
      <c r="J67" s="43"/>
      <c r="L67" s="43"/>
      <c r="M67" s="43"/>
      <c r="N67" s="43"/>
      <c r="Q67" s="43"/>
      <c r="R67" s="43"/>
    </row>
    <row r="68" spans="2:18" x14ac:dyDescent="0.2">
      <c r="C68" s="24"/>
      <c r="H68" s="43"/>
      <c r="I68" s="44"/>
      <c r="J68" s="43"/>
      <c r="L68" s="43"/>
      <c r="M68" s="43"/>
      <c r="N68" s="43"/>
      <c r="Q68" s="43"/>
      <c r="R68" s="43"/>
    </row>
    <row r="69" spans="2:18" x14ac:dyDescent="0.2">
      <c r="C69" s="24"/>
      <c r="H69" s="43"/>
      <c r="I69" s="44"/>
      <c r="J69" s="43"/>
      <c r="L69" s="43"/>
      <c r="M69" s="43"/>
      <c r="N69" s="43"/>
      <c r="Q69" s="43"/>
      <c r="R69" s="43"/>
    </row>
    <row r="70" spans="2:18" x14ac:dyDescent="0.2">
      <c r="C70" s="24"/>
      <c r="H70" s="43"/>
      <c r="I70" s="44"/>
      <c r="J70" s="43"/>
      <c r="L70" s="43"/>
      <c r="M70" s="43"/>
      <c r="N70" s="43"/>
      <c r="Q70" s="43"/>
      <c r="R70" s="43"/>
    </row>
    <row r="71" spans="2:18" x14ac:dyDescent="0.2">
      <c r="C71" s="24"/>
      <c r="H71" s="43"/>
      <c r="I71" s="44"/>
      <c r="J71" s="43"/>
      <c r="L71" s="43"/>
      <c r="M71" s="43"/>
      <c r="N71" s="43"/>
      <c r="Q71" s="43"/>
      <c r="R71" s="43"/>
    </row>
    <row r="72" spans="2:18" x14ac:dyDescent="0.2">
      <c r="C72" s="24"/>
      <c r="H72" s="43"/>
      <c r="I72" s="44"/>
      <c r="J72" s="43"/>
      <c r="L72" s="43"/>
      <c r="M72" s="43"/>
      <c r="N72" s="43"/>
      <c r="Q72" s="43"/>
      <c r="R72" s="43"/>
    </row>
    <row r="73" spans="2:18" x14ac:dyDescent="0.2">
      <c r="C73" s="24"/>
      <c r="H73" s="43"/>
      <c r="I73" s="44"/>
      <c r="J73" s="43"/>
      <c r="L73" s="43"/>
      <c r="M73" s="43"/>
      <c r="N73" s="43"/>
      <c r="Q73" s="43"/>
      <c r="R73" s="43"/>
    </row>
    <row r="74" spans="2:18" x14ac:dyDescent="0.2">
      <c r="C74" s="24"/>
      <c r="H74" s="43"/>
      <c r="I74" s="44"/>
      <c r="J74" s="43"/>
      <c r="L74" s="43"/>
      <c r="M74" s="43"/>
      <c r="N74" s="43"/>
      <c r="Q74" s="43"/>
      <c r="R74" s="43"/>
    </row>
    <row r="75" spans="2:18" x14ac:dyDescent="0.2">
      <c r="C75" s="24"/>
      <c r="H75" s="43"/>
      <c r="I75" s="44"/>
      <c r="J75" s="43"/>
      <c r="L75" s="43"/>
      <c r="M75" s="43"/>
      <c r="N75" s="43"/>
      <c r="Q75" s="43"/>
      <c r="R75" s="43"/>
    </row>
    <row r="76" spans="2:18" x14ac:dyDescent="0.2">
      <c r="C76" s="24"/>
      <c r="H76" s="43"/>
      <c r="I76" s="44"/>
      <c r="J76" s="43"/>
      <c r="L76" s="43"/>
      <c r="M76" s="43"/>
      <c r="N76" s="43"/>
      <c r="Q76" s="43"/>
      <c r="R76" s="43"/>
    </row>
    <row r="77" spans="2:18" x14ac:dyDescent="0.2">
      <c r="C77" s="24"/>
      <c r="H77" s="43"/>
      <c r="I77" s="44"/>
      <c r="J77" s="43"/>
      <c r="L77" s="43"/>
      <c r="M77" s="43"/>
      <c r="N77" s="43"/>
      <c r="Q77" s="43"/>
      <c r="R77" s="43"/>
    </row>
    <row r="78" spans="2:18" x14ac:dyDescent="0.2">
      <c r="C78" s="24"/>
      <c r="H78" s="43"/>
      <c r="I78" s="44"/>
      <c r="J78" s="43"/>
      <c r="L78" s="43"/>
      <c r="M78" s="43"/>
      <c r="N78" s="43"/>
      <c r="Q78" s="43"/>
      <c r="R78" s="43"/>
    </row>
    <row r="79" spans="2:18" x14ac:dyDescent="0.2">
      <c r="C79" s="24"/>
      <c r="H79" s="43"/>
      <c r="I79" s="44"/>
      <c r="J79" s="43"/>
      <c r="L79" s="43"/>
      <c r="M79" s="43"/>
      <c r="N79" s="43"/>
      <c r="Q79" s="43"/>
      <c r="R79" s="43"/>
    </row>
    <row r="80" spans="2:18" x14ac:dyDescent="0.2">
      <c r="C80" s="24"/>
      <c r="H80" s="43"/>
      <c r="I80" s="44"/>
      <c r="J80" s="43"/>
      <c r="L80" s="43"/>
      <c r="M80" s="43"/>
      <c r="N80" s="43"/>
      <c r="Q80" s="43"/>
      <c r="R80" s="43"/>
    </row>
    <row r="81" spans="2:18" x14ac:dyDescent="0.2">
      <c r="C81" s="24"/>
      <c r="H81" s="43"/>
      <c r="I81" s="44"/>
      <c r="J81" s="43"/>
      <c r="L81" s="43"/>
      <c r="M81" s="43"/>
      <c r="N81" s="43"/>
      <c r="Q81" s="43"/>
      <c r="R81" s="43"/>
    </row>
    <row r="82" spans="2:18" x14ac:dyDescent="0.2">
      <c r="C82" s="24"/>
      <c r="H82" s="43"/>
      <c r="I82" s="44"/>
      <c r="J82" s="43"/>
      <c r="L82" s="43"/>
      <c r="M82" s="43"/>
      <c r="N82" s="43"/>
      <c r="Q82" s="43"/>
      <c r="R82" s="43"/>
    </row>
    <row r="83" spans="2:18" x14ac:dyDescent="0.2">
      <c r="C83" s="24"/>
      <c r="H83" s="43"/>
      <c r="I83" s="44"/>
      <c r="J83" s="43"/>
      <c r="L83" s="43"/>
      <c r="M83" s="43"/>
      <c r="N83" s="43"/>
      <c r="Q83" s="43"/>
      <c r="R83" s="43"/>
    </row>
    <row r="84" spans="2:18" x14ac:dyDescent="0.2">
      <c r="C84" s="24"/>
      <c r="H84" s="43"/>
      <c r="I84" s="44"/>
      <c r="J84" s="43"/>
      <c r="L84" s="43"/>
      <c r="M84" s="43"/>
      <c r="N84" s="43"/>
      <c r="Q84" s="43"/>
      <c r="R84" s="43"/>
    </row>
    <row r="85" spans="2:18" x14ac:dyDescent="0.2">
      <c r="C85" s="24"/>
      <c r="H85" s="43"/>
      <c r="I85" s="44"/>
      <c r="J85" s="43"/>
      <c r="L85" s="43"/>
      <c r="M85" s="43"/>
      <c r="N85" s="43"/>
      <c r="Q85" s="43"/>
      <c r="R85" s="43"/>
    </row>
    <row r="86" spans="2:18" x14ac:dyDescent="0.2">
      <c r="C86" s="24"/>
      <c r="H86" s="43"/>
      <c r="I86" s="44"/>
      <c r="J86" s="43"/>
      <c r="L86" s="43"/>
      <c r="M86" s="43"/>
      <c r="N86" s="43"/>
      <c r="Q86" s="43"/>
      <c r="R86" s="43"/>
    </row>
    <row r="87" spans="2:18" x14ac:dyDescent="0.2">
      <c r="C87" s="24"/>
      <c r="H87" s="43"/>
      <c r="I87" s="44"/>
      <c r="J87" s="43"/>
      <c r="L87" s="43"/>
      <c r="M87" s="43"/>
      <c r="N87" s="43"/>
      <c r="Q87" s="43"/>
      <c r="R87" s="43"/>
    </row>
    <row r="88" spans="2:18" x14ac:dyDescent="0.2">
      <c r="C88" s="24"/>
      <c r="H88" s="43"/>
      <c r="I88" s="44"/>
      <c r="J88" s="43"/>
      <c r="L88" s="43"/>
      <c r="M88" s="43"/>
      <c r="N88" s="43"/>
      <c r="Q88" s="43"/>
      <c r="R88" s="43"/>
    </row>
    <row r="89" spans="2:18" x14ac:dyDescent="0.2">
      <c r="C89" s="24"/>
      <c r="H89" s="43"/>
      <c r="I89" s="44"/>
      <c r="J89" s="43"/>
      <c r="L89" s="43"/>
      <c r="M89" s="43"/>
      <c r="N89" s="43"/>
      <c r="Q89" s="43"/>
      <c r="R89" s="43"/>
    </row>
    <row r="90" spans="2:18" x14ac:dyDescent="0.2">
      <c r="C90" s="24"/>
      <c r="H90" s="43"/>
      <c r="I90" s="44"/>
      <c r="J90" s="43"/>
      <c r="L90" s="43"/>
      <c r="M90" s="43"/>
      <c r="N90" s="43"/>
      <c r="Q90" s="43"/>
      <c r="R90" s="43"/>
    </row>
    <row r="91" spans="2:18" x14ac:dyDescent="0.2">
      <c r="B91" s="24" t="str">
        <f>IF(Lang="Français","Textes pour les listes déroulantes et graphiques :",IF(Lang="English","Texts for drop-down lists &amp; graphics :",""))</f>
        <v>Textes pour les listes déroulantes et graphiques :</v>
      </c>
      <c r="H91" s="43"/>
      <c r="I91" s="44"/>
      <c r="J91" s="43"/>
      <c r="L91" s="43"/>
      <c r="M91" s="43"/>
      <c r="N91" s="43"/>
      <c r="Q91" s="43"/>
      <c r="R91" s="43"/>
    </row>
    <row r="92" spans="2:18" x14ac:dyDescent="0.2">
      <c r="H92" s="43"/>
      <c r="I92" s="44"/>
      <c r="J92" s="43"/>
      <c r="L92" s="43"/>
      <c r="M92" s="43"/>
      <c r="N92" s="43"/>
      <c r="Q92" s="43"/>
      <c r="R92" s="43"/>
    </row>
    <row r="93" spans="2:18" x14ac:dyDescent="0.2">
      <c r="B93" s="26" t="s">
        <v>1</v>
      </c>
      <c r="H93" s="43"/>
      <c r="I93" s="44"/>
      <c r="J93" s="43"/>
      <c r="L93" s="43"/>
      <c r="M93" s="43"/>
      <c r="N93" s="43"/>
      <c r="Q93" s="43"/>
      <c r="R93" s="43"/>
    </row>
    <row r="94" spans="2:18" x14ac:dyDescent="0.2">
      <c r="B94" s="26" t="s">
        <v>68</v>
      </c>
      <c r="H94" s="43"/>
      <c r="I94" s="44"/>
      <c r="J94" s="43"/>
      <c r="L94" s="43"/>
      <c r="M94" s="43"/>
      <c r="N94" s="43"/>
      <c r="Q94" s="43"/>
      <c r="R94" s="43"/>
    </row>
    <row r="95" spans="2:18" x14ac:dyDescent="0.2">
      <c r="B95" s="26"/>
      <c r="H95" s="43"/>
      <c r="I95" s="44"/>
      <c r="J95" s="43"/>
      <c r="L95" s="43"/>
      <c r="M95" s="43"/>
      <c r="N95" s="43"/>
      <c r="Q95" s="43"/>
      <c r="R95" s="43"/>
    </row>
    <row r="96" spans="2:18" x14ac:dyDescent="0.2">
      <c r="B96" s="26" t="str">
        <f>IF(Lang="Français","Fusée à eau  ",IF(Lang="English","Water-rocket  ",""))</f>
        <v xml:space="preserve">Fusée à eau  </v>
      </c>
      <c r="H96" s="43"/>
      <c r="I96" s="44"/>
      <c r="J96" s="43"/>
      <c r="L96" s="43"/>
      <c r="M96" s="43"/>
      <c r="N96" s="43"/>
      <c r="Q96" s="43"/>
      <c r="R96" s="43"/>
    </row>
    <row r="97" spans="2:18" x14ac:dyDescent="0.2">
      <c r="B97" s="26" t="str">
        <f>IF(Lang="Français","Microfusée",IF(Lang="English","Micro-rocket",""))</f>
        <v>Microfusée</v>
      </c>
      <c r="H97" s="43"/>
      <c r="I97" s="44"/>
      <c r="J97" s="43"/>
      <c r="L97" s="43"/>
      <c r="M97" s="43"/>
      <c r="N97" s="43"/>
      <c r="Q97" s="43"/>
      <c r="R97" s="43"/>
    </row>
    <row r="98" spans="2:18" x14ac:dyDescent="0.2">
      <c r="B98" s="26" t="str">
        <f>IF(Lang="Français","Minifusée",IF(Lang="English","Mini-rocket",""))</f>
        <v>Minifusée</v>
      </c>
      <c r="H98" s="43"/>
      <c r="I98" s="44"/>
      <c r="J98" s="43"/>
      <c r="L98" s="43"/>
      <c r="M98" s="43"/>
      <c r="N98" s="43"/>
      <c r="Q98" s="43"/>
      <c r="R98" s="43"/>
    </row>
    <row r="99" spans="2:18" x14ac:dyDescent="0.2">
      <c r="B99" s="26" t="s">
        <v>397</v>
      </c>
      <c r="H99" s="43"/>
      <c r="I99" s="44"/>
      <c r="J99" s="43"/>
      <c r="L99" s="43"/>
      <c r="M99" s="43"/>
      <c r="N99" s="43"/>
      <c r="Q99" s="43"/>
      <c r="R99" s="43"/>
    </row>
    <row r="100" spans="2:18" x14ac:dyDescent="0.2">
      <c r="B100" s="26" t="str">
        <f>IF(Lang="Français","Fusée expérimentale.",IF(Lang="English","Experimental Rocket.",""))</f>
        <v>Fusée expérimentale.</v>
      </c>
      <c r="H100" s="43"/>
      <c r="I100" s="44"/>
      <c r="J100" s="43"/>
      <c r="L100" s="43"/>
      <c r="M100" s="43"/>
      <c r="N100" s="43"/>
      <c r="Q100" s="43"/>
      <c r="R100" s="43"/>
    </row>
    <row r="101" spans="2:18" x14ac:dyDescent="0.2">
      <c r="B101" s="26" t="s">
        <v>398</v>
      </c>
      <c r="H101" s="43"/>
      <c r="I101" s="44"/>
      <c r="J101" s="43"/>
      <c r="L101" s="43"/>
      <c r="M101" s="43"/>
      <c r="N101" s="43"/>
      <c r="Q101" s="43"/>
      <c r="R101" s="43"/>
    </row>
    <row r="102" spans="2:18" x14ac:dyDescent="0.2">
      <c r="B102" s="26"/>
      <c r="H102" s="43"/>
      <c r="I102" s="44"/>
      <c r="J102" s="43"/>
      <c r="L102" s="43"/>
      <c r="M102" s="43"/>
      <c r="N102" s="43"/>
      <c r="Q102" s="43"/>
      <c r="R102" s="43"/>
    </row>
    <row r="103" spans="2:18" x14ac:dyDescent="0.2">
      <c r="B103" s="26" t="str">
        <f>IF(Lang="Français","sans propu",IF(Lang="English","without motor",""))</f>
        <v>sans propu</v>
      </c>
      <c r="H103" s="43"/>
      <c r="I103" s="44"/>
      <c r="J103" s="43"/>
      <c r="L103" s="43"/>
      <c r="M103" s="43"/>
      <c r="N103" s="43"/>
      <c r="Q103" s="43"/>
      <c r="R103" s="43"/>
    </row>
    <row r="104" spans="2:18" x14ac:dyDescent="0.2">
      <c r="B104" s="26" t="str">
        <f>IF(Lang="Français","avec propu vide",IF(Lang="English","with empty motor",""))</f>
        <v>avec propu vide</v>
      </c>
      <c r="H104" s="43"/>
      <c r="I104" s="44"/>
      <c r="J104" s="43"/>
      <c r="L104" s="43"/>
      <c r="M104" s="43"/>
      <c r="N104" s="43"/>
      <c r="Q104" s="43"/>
      <c r="R104" s="43"/>
    </row>
    <row r="105" spans="2:18" x14ac:dyDescent="0.2">
      <c r="B105" s="26" t="str">
        <f>IF(Lang="Français","avec propu plein",IF(Lang="English","with loaded motor",""))</f>
        <v>avec propu plein</v>
      </c>
      <c r="H105" s="43"/>
      <c r="I105" s="44"/>
      <c r="J105" s="43"/>
      <c r="L105" s="43"/>
      <c r="M105" s="43"/>
      <c r="N105" s="43"/>
      <c r="Q105" s="43"/>
      <c r="R105" s="43"/>
    </row>
    <row r="106" spans="2:18" x14ac:dyDescent="0.2">
      <c r="B106" s="26"/>
      <c r="H106" s="43"/>
      <c r="I106" s="44"/>
      <c r="J106" s="43"/>
      <c r="L106" s="43"/>
      <c r="M106" s="43"/>
      <c r="N106" s="43"/>
      <c r="Q106" s="43"/>
      <c r="R106" s="43"/>
    </row>
    <row r="107" spans="2:18" x14ac:dyDescent="0.2">
      <c r="B107" s="26" t="str">
        <f>IF(Lang="Français","Parabolique (arrondie)",IF(Lang="English","Parabola (rounded)",""))</f>
        <v>Parabolique (arrondie)</v>
      </c>
      <c r="H107" s="43"/>
      <c r="I107" s="44"/>
      <c r="J107" s="43"/>
      <c r="L107" s="43"/>
      <c r="M107" s="43"/>
      <c r="N107" s="43"/>
      <c r="Q107" s="43"/>
      <c r="R107" s="43"/>
    </row>
    <row r="108" spans="2:18" x14ac:dyDescent="0.2">
      <c r="B108" s="26" t="str">
        <f>IF(Lang="Français","Ogivale (pointue)",IF(Lang="English","Ogive (sharp)",""))</f>
        <v>Ogivale (pointue)</v>
      </c>
      <c r="H108" s="43"/>
      <c r="I108" s="44"/>
      <c r="J108" s="43"/>
      <c r="L108" s="43"/>
      <c r="M108" s="43"/>
      <c r="N108" s="43"/>
      <c r="Q108" s="43"/>
      <c r="R108" s="43"/>
    </row>
    <row r="109" spans="2:18" x14ac:dyDescent="0.2">
      <c r="B109" s="26" t="str">
        <f>IF(Lang="Français","Conique (droite)",IF(Lang="English","Cone (straight)",""))</f>
        <v>Conique (droite)</v>
      </c>
      <c r="H109" s="43"/>
      <c r="I109" s="44"/>
      <c r="J109" s="43"/>
      <c r="L109" s="43"/>
      <c r="M109" s="43"/>
      <c r="N109" s="43"/>
      <c r="Q109" s="43"/>
      <c r="R109" s="43"/>
    </row>
    <row r="110" spans="2:18" x14ac:dyDescent="0.2">
      <c r="B110" s="38"/>
      <c r="H110" s="43"/>
      <c r="I110" s="44"/>
      <c r="J110" s="43"/>
      <c r="L110" s="43"/>
      <c r="M110" s="43"/>
      <c r="N110" s="43"/>
      <c r="Q110" s="43"/>
      <c r="R110" s="43"/>
    </row>
    <row r="111" spans="2:18" x14ac:dyDescent="0.2">
      <c r="B111" s="38" t="s">
        <v>424</v>
      </c>
      <c r="H111" s="43"/>
      <c r="I111" s="44"/>
      <c r="J111" s="43"/>
      <c r="L111" s="43"/>
      <c r="M111" s="43"/>
      <c r="N111" s="43"/>
      <c r="Q111" s="43"/>
      <c r="R111" s="43"/>
    </row>
    <row r="112" spans="2:18" x14ac:dyDescent="0.2">
      <c r="B112" s="38" t="s">
        <v>425</v>
      </c>
      <c r="H112" s="43"/>
      <c r="I112" s="44"/>
      <c r="J112" s="43"/>
      <c r="L112" s="43"/>
      <c r="M112" s="43"/>
      <c r="N112" s="43"/>
      <c r="Q112" s="43"/>
      <c r="R112" s="43"/>
    </row>
    <row r="113" spans="2:18" x14ac:dyDescent="0.2">
      <c r="B113" s="38"/>
      <c r="H113" s="43"/>
      <c r="I113" s="44"/>
      <c r="J113" s="43"/>
      <c r="L113" s="43"/>
      <c r="M113" s="43"/>
      <c r="N113" s="43"/>
      <c r="Q113" s="43"/>
      <c r="R113" s="43"/>
    </row>
    <row r="114" spans="2:18" x14ac:dyDescent="0.2">
      <c r="B114" s="38" t="str">
        <f>IF(Lang="Français","Fusée mono-diamètre,",IF(Lang="English","Mono-diameter rocket,",""))</f>
        <v>Fusée mono-diamètre,</v>
      </c>
      <c r="H114" s="43"/>
      <c r="I114" s="44"/>
      <c r="J114" s="43"/>
      <c r="L114" s="43"/>
      <c r="M114" s="43"/>
      <c r="N114" s="43"/>
      <c r="Q114" s="43"/>
      <c r="R114" s="43"/>
    </row>
    <row r="115" spans="2:18" x14ac:dyDescent="0.2">
      <c r="B115" s="38" t="str">
        <f>IF(Lang="Français","Plusieurs diamètres.",IF(Lang="English","Many diameters rocket.",""))</f>
        <v>Plusieurs diamètres.</v>
      </c>
      <c r="H115" s="43"/>
      <c r="I115" s="44"/>
      <c r="J115" s="43"/>
      <c r="L115" s="43"/>
      <c r="M115" s="43"/>
      <c r="N115" s="43"/>
      <c r="Q115" s="43"/>
      <c r="R115" s="43"/>
    </row>
    <row r="116" spans="2:18" x14ac:dyDescent="0.2">
      <c r="B116" s="38"/>
      <c r="H116" s="43"/>
      <c r="I116" s="44"/>
      <c r="J116" s="43"/>
      <c r="L116" s="43"/>
      <c r="M116" s="43"/>
      <c r="N116" s="43"/>
      <c r="Q116" s="43"/>
      <c r="R116" s="43"/>
    </row>
    <row r="117" spans="2:18" x14ac:dyDescent="0.2">
      <c r="B117" s="223" t="str">
        <f>IF(Lang="Français","Diagramme des critères de stabilité","Stability criterions diagram")</f>
        <v>Diagramme des critères de stabilité</v>
      </c>
      <c r="H117" s="43"/>
      <c r="I117" s="44"/>
      <c r="J117" s="43"/>
      <c r="L117" s="43"/>
      <c r="M117" s="43"/>
      <c r="N117" s="43"/>
      <c r="Q117" s="43"/>
      <c r="R117" s="43"/>
    </row>
    <row r="118" spans="2:18" x14ac:dyDescent="0.2">
      <c r="B118" s="223" t="str">
        <f>IF(Lang="Français","Marge Statique (MS)","Static Margin")</f>
        <v>Marge Statique (MS)</v>
      </c>
      <c r="H118" s="43"/>
      <c r="I118" s="44"/>
      <c r="J118" s="43"/>
      <c r="L118" s="43"/>
      <c r="M118" s="43"/>
      <c r="N118" s="43"/>
      <c r="Q118" s="43"/>
      <c r="R118" s="43"/>
    </row>
    <row r="119" spans="2:18" x14ac:dyDescent="0.2">
      <c r="B119" s="223" t="str">
        <f>IF(Lang="Français","Portance Cnα","Lift Cnα")</f>
        <v>Portance Cnα</v>
      </c>
      <c r="H119" s="43"/>
      <c r="I119" s="44"/>
      <c r="J119" s="43"/>
      <c r="L119" s="43"/>
      <c r="M119" s="43"/>
      <c r="N119" s="43"/>
      <c r="Q119" s="43"/>
      <c r="R119" s="43"/>
    </row>
    <row r="120" spans="2:18" x14ac:dyDescent="0.2">
      <c r="B120" s="38"/>
      <c r="H120" s="43"/>
      <c r="I120" s="44"/>
      <c r="J120" s="43"/>
      <c r="L120" s="43"/>
      <c r="M120" s="43"/>
      <c r="N120" s="43"/>
      <c r="Q120" s="43"/>
      <c r="R120" s="43"/>
    </row>
    <row r="121" spans="2:18" x14ac:dyDescent="0.2">
      <c r="B121" s="24" t="str">
        <f>IF(Lang="Français","Données pour les graphiques :",IF(Lang="English","Data for plots:",""))</f>
        <v>Données pour les graphiques :</v>
      </c>
      <c r="H121" s="43"/>
      <c r="I121" s="44"/>
      <c r="J121" s="43"/>
      <c r="L121" s="43"/>
      <c r="M121" s="43"/>
      <c r="N121" s="43"/>
      <c r="Q121" s="43"/>
      <c r="R121" s="43"/>
    </row>
    <row r="122" spans="2:18" x14ac:dyDescent="0.2">
      <c r="H122" s="43"/>
      <c r="I122" s="44"/>
      <c r="J122" s="43"/>
      <c r="L122" s="43"/>
      <c r="M122" s="43"/>
      <c r="N122" s="43"/>
      <c r="Q122" s="43"/>
      <c r="R122" s="43"/>
    </row>
    <row r="123" spans="2:18" x14ac:dyDescent="0.2">
      <c r="B123" s="45"/>
      <c r="C123" s="45" t="s">
        <v>69</v>
      </c>
      <c r="D123" s="45" t="s">
        <v>70</v>
      </c>
      <c r="E123" s="92" t="s">
        <v>71</v>
      </c>
      <c r="K123" s="45"/>
      <c r="R123" s="43"/>
    </row>
    <row r="124" spans="2:18" x14ac:dyDescent="0.2">
      <c r="B124" s="45" t="s">
        <v>73</v>
      </c>
      <c r="C124" s="46">
        <f>-Long_ogive</f>
        <v>-275</v>
      </c>
      <c r="D124" s="46">
        <v>0</v>
      </c>
      <c r="E124" s="93">
        <f t="shared" ref="E124:E136" si="0">-D124</f>
        <v>0</v>
      </c>
      <c r="K124" s="46"/>
    </row>
    <row r="125" spans="2:18" x14ac:dyDescent="0.2">
      <c r="B125" s="45" t="s">
        <v>73</v>
      </c>
      <c r="C125" s="46">
        <f>-Long_ogive</f>
        <v>-275</v>
      </c>
      <c r="D125" s="46">
        <f>D_og/2</f>
        <v>42</v>
      </c>
      <c r="E125" s="93">
        <f t="shared" si="0"/>
        <v>-42</v>
      </c>
      <c r="K125" s="46"/>
    </row>
    <row r="126" spans="2:18" x14ac:dyDescent="0.2">
      <c r="B126" s="45" t="s">
        <v>74</v>
      </c>
      <c r="C126" s="46">
        <f>IF(AND(RIGHT(Nb_diam,1)=".",X_j), -X_j, C125 )</f>
        <v>-275</v>
      </c>
      <c r="D126" s="46">
        <f>IF(AND(RIGHT(Nb_diam,1)=".",X_j), D1j/2, D125 )</f>
        <v>42</v>
      </c>
      <c r="E126" s="93">
        <f t="shared" si="0"/>
        <v>-42</v>
      </c>
      <c r="K126" s="46"/>
    </row>
    <row r="127" spans="2:18" x14ac:dyDescent="0.2">
      <c r="B127" s="45" t="s">
        <v>75</v>
      </c>
      <c r="C127" s="46">
        <f>IF(AND(RIGHT(Nb_diam,1)=".",X_j), -X_j-l_j, C126 )</f>
        <v>-275</v>
      </c>
      <c r="D127" s="46">
        <f>IF(AND(RIGHT(Nb_diam,1)=".",X_j), D2j/2, D126 )</f>
        <v>42</v>
      </c>
      <c r="E127" s="93">
        <f t="shared" si="0"/>
        <v>-42</v>
      </c>
      <c r="K127" s="46"/>
    </row>
    <row r="128" spans="2:18" x14ac:dyDescent="0.2">
      <c r="B128" s="45" t="s">
        <v>76</v>
      </c>
      <c r="C128" s="46">
        <f>IF(AND(RIGHT(Nb_diam,1)=".",X_r), -X_r, C127 )</f>
        <v>-275</v>
      </c>
      <c r="D128" s="46">
        <f>IF(AND(RIGHT(Nb_diam,1)=".",X_r), D1r/2, D127 )</f>
        <v>42</v>
      </c>
      <c r="E128" s="93">
        <f t="shared" si="0"/>
        <v>-42</v>
      </c>
      <c r="K128" s="46"/>
    </row>
    <row r="129" spans="2:11" x14ac:dyDescent="0.2">
      <c r="B129" s="45" t="s">
        <v>77</v>
      </c>
      <c r="C129" s="46">
        <f>IF(AND(RIGHT(Nb_diam,1)=".",X_r), -X_r-l_r, C128 )</f>
        <v>-275</v>
      </c>
      <c r="D129" s="46">
        <f>IF(AND(RIGHT(Nb_diam,1)=".",X_r), D2r/2, D128 )</f>
        <v>42</v>
      </c>
      <c r="E129" s="93">
        <f t="shared" si="0"/>
        <v>-42</v>
      </c>
      <c r="K129" s="46"/>
    </row>
    <row r="130" spans="2:11" x14ac:dyDescent="0.2">
      <c r="B130" s="45" t="s">
        <v>78</v>
      </c>
      <c r="C130" s="46">
        <f>-Long_tot</f>
        <v>-1300</v>
      </c>
      <c r="D130" s="46">
        <f>D129</f>
        <v>42</v>
      </c>
      <c r="E130" s="93">
        <f t="shared" si="0"/>
        <v>-42</v>
      </c>
      <c r="K130" s="46"/>
    </row>
    <row r="131" spans="2:11" x14ac:dyDescent="0.2">
      <c r="B131" s="45" t="s">
        <v>78</v>
      </c>
      <c r="C131" s="46">
        <f>-Long_tot</f>
        <v>-1300</v>
      </c>
      <c r="D131" s="46">
        <v>0</v>
      </c>
      <c r="E131" s="93">
        <f t="shared" si="0"/>
        <v>0</v>
      </c>
      <c r="K131" s="46"/>
    </row>
    <row r="132" spans="2:11" x14ac:dyDescent="0.2">
      <c r="B132" s="183" t="s">
        <v>79</v>
      </c>
      <c r="C132" s="197">
        <f>-X_ail+m_ail</f>
        <v>-970</v>
      </c>
      <c r="D132" s="197">
        <f>D_ail/2</f>
        <v>42</v>
      </c>
      <c r="E132" s="198">
        <f t="shared" si="0"/>
        <v>-42</v>
      </c>
      <c r="K132" s="46"/>
    </row>
    <row r="133" spans="2:11" x14ac:dyDescent="0.2">
      <c r="B133" s="185" t="s">
        <v>80</v>
      </c>
      <c r="C133" s="46">
        <f>-X_ail+m_ail-p_ail</f>
        <v>-1160</v>
      </c>
      <c r="D133" s="46">
        <f>D_ail/2+E_ail</f>
        <v>162</v>
      </c>
      <c r="E133" s="199">
        <f t="shared" si="0"/>
        <v>-162</v>
      </c>
      <c r="K133" s="46"/>
    </row>
    <row r="134" spans="2:11" x14ac:dyDescent="0.2">
      <c r="B134" s="185" t="s">
        <v>81</v>
      </c>
      <c r="C134" s="46">
        <f>-X_ail+m_ail-p_ail-n_ail</f>
        <v>-1230</v>
      </c>
      <c r="D134" s="46">
        <f>D_ail/2+E_ail</f>
        <v>162</v>
      </c>
      <c r="E134" s="199">
        <f t="shared" si="0"/>
        <v>-162</v>
      </c>
      <c r="K134" s="46"/>
    </row>
    <row r="135" spans="2:11" x14ac:dyDescent="0.2">
      <c r="B135" s="185" t="s">
        <v>82</v>
      </c>
      <c r="C135" s="46">
        <f>-X_ail</f>
        <v>-1300</v>
      </c>
      <c r="D135" s="46">
        <f>D_ail/2</f>
        <v>42</v>
      </c>
      <c r="E135" s="199">
        <f t="shared" si="0"/>
        <v>-42</v>
      </c>
      <c r="K135" s="46"/>
    </row>
    <row r="136" spans="2:11" x14ac:dyDescent="0.2">
      <c r="B136" s="187" t="s">
        <v>79</v>
      </c>
      <c r="C136" s="200">
        <f>-X_ail+m_ail</f>
        <v>-970</v>
      </c>
      <c r="D136" s="200">
        <f>D_ail/2</f>
        <v>42</v>
      </c>
      <c r="E136" s="201">
        <f t="shared" si="0"/>
        <v>-42</v>
      </c>
      <c r="K136" s="46"/>
    </row>
    <row r="137" spans="2:11" x14ac:dyDescent="0.2">
      <c r="B137" s="192" t="str">
        <f>IF(E_ail&gt;0,IF(Lang="Français","Envergure","Span"),"")</f>
        <v>Envergure</v>
      </c>
      <c r="C137" s="197">
        <f>MIN(-X_ail,-X_ail+m_ail-p_ail-n_ail)-Long_tot/30</f>
        <v>-1343.3333333333333</v>
      </c>
      <c r="D137" s="207">
        <f>-D_ail/2-E_ail</f>
        <v>-162</v>
      </c>
      <c r="E137" s="93"/>
      <c r="K137" s="46"/>
    </row>
    <row r="138" spans="2:11" x14ac:dyDescent="0.2">
      <c r="B138" s="195" t="s">
        <v>167</v>
      </c>
      <c r="C138" s="46">
        <f>MIN(-X_ail,-X_ail+m_ail-p_ail-n_ail)-Long_tot/30</f>
        <v>-1343.3333333333333</v>
      </c>
      <c r="D138" s="208">
        <f>-D_ail/2-E_ail/2</f>
        <v>-102</v>
      </c>
      <c r="E138" s="93"/>
      <c r="K138" s="46"/>
    </row>
    <row r="139" spans="2:11" x14ac:dyDescent="0.2">
      <c r="B139" s="212" t="s">
        <v>163</v>
      </c>
      <c r="C139" s="200">
        <f>MIN(-X_ail,-X_ail+m_ail-p_ail-n_ail)-Long_tot/30</f>
        <v>-1343.3333333333333</v>
      </c>
      <c r="D139" s="209">
        <f>-D_ail/2</f>
        <v>-42</v>
      </c>
      <c r="E139" s="93"/>
      <c r="K139" s="46"/>
    </row>
    <row r="140" spans="2:11" x14ac:dyDescent="0.2">
      <c r="B140" s="192" t="str">
        <f>IF(Lang="Français","Emplanture","Root edge")</f>
        <v>Emplanture</v>
      </c>
      <c r="C140" s="197">
        <f>-X_ail+m_ail</f>
        <v>-970</v>
      </c>
      <c r="D140" s="207">
        <f>D_ail/2+E_ail+Long_tot/20</f>
        <v>227</v>
      </c>
      <c r="E140" s="93"/>
      <c r="K140" s="46"/>
    </row>
    <row r="141" spans="2:11" x14ac:dyDescent="0.2">
      <c r="B141" s="195" t="s">
        <v>169</v>
      </c>
      <c r="C141" s="46">
        <f>-X_ail+m_ail/2</f>
        <v>-1135</v>
      </c>
      <c r="D141" s="208">
        <f>D_ail/2+E_ail+Long_tot/20</f>
        <v>227</v>
      </c>
      <c r="E141" s="93"/>
      <c r="K141" s="46"/>
    </row>
    <row r="142" spans="2:11" x14ac:dyDescent="0.2">
      <c r="B142" s="212" t="s">
        <v>170</v>
      </c>
      <c r="C142" s="200">
        <f>-X_ail</f>
        <v>-1300</v>
      </c>
      <c r="D142" s="209">
        <f>D_ail/2+E_ail+Long_tot/20</f>
        <v>227</v>
      </c>
      <c r="E142" s="93"/>
      <c r="K142" s="46"/>
    </row>
    <row r="143" spans="2:11" x14ac:dyDescent="0.2">
      <c r="B143" s="192" t="str">
        <f>IF(p_ail&lt;&gt;0,IF(Lang="Français","Flèche","Offset"),"")</f>
        <v>Flèche</v>
      </c>
      <c r="C143" s="197">
        <f>-X_ail+m_ail</f>
        <v>-970</v>
      </c>
      <c r="D143" s="207">
        <f>-D_ail/2-E_ail-Long_tot/30</f>
        <v>-205.33333333333334</v>
      </c>
      <c r="E143" s="93"/>
      <c r="K143" s="46"/>
    </row>
    <row r="144" spans="2:11" x14ac:dyDescent="0.2">
      <c r="B144" s="195" t="s">
        <v>166</v>
      </c>
      <c r="C144" s="46">
        <f>-X_ail+m_ail-p_ail/2</f>
        <v>-1065</v>
      </c>
      <c r="D144" s="208">
        <f>-D_ail/2-E_ail-Long_tot/30</f>
        <v>-205.33333333333334</v>
      </c>
      <c r="E144" s="93"/>
      <c r="K144" s="46"/>
    </row>
    <row r="145" spans="2:11" x14ac:dyDescent="0.2">
      <c r="B145" s="212" t="s">
        <v>164</v>
      </c>
      <c r="C145" s="200">
        <f>-X_ail+m_ail-p_ail</f>
        <v>-1160</v>
      </c>
      <c r="D145" s="209">
        <f>-D_ail/2-E_ail-Long_tot/30</f>
        <v>-205.33333333333334</v>
      </c>
      <c r="E145" s="93"/>
      <c r="K145" s="46"/>
    </row>
    <row r="146" spans="2:11" x14ac:dyDescent="0.2">
      <c r="B146" s="192" t="str">
        <f>IF(n_ail&gt;0,IF(Lang="Français","Saumon","Tip edge"),"")</f>
        <v>Saumon</v>
      </c>
      <c r="C146" s="197">
        <f>-X_ail+m_ail-p_ail</f>
        <v>-1160</v>
      </c>
      <c r="D146" s="207">
        <f>-D_ail/2-E_ail-Long_tot/20</f>
        <v>-227</v>
      </c>
      <c r="E146" s="93"/>
      <c r="K146" s="46"/>
    </row>
    <row r="147" spans="2:11" x14ac:dyDescent="0.2">
      <c r="B147" s="195" t="s">
        <v>168</v>
      </c>
      <c r="C147" s="46">
        <f>-X_ail+m_ail-p_ail-n_ail/2</f>
        <v>-1195</v>
      </c>
      <c r="D147" s="208">
        <f>-D_ail/2-E_ail-Long_tot/20</f>
        <v>-227</v>
      </c>
      <c r="E147" s="93"/>
      <c r="K147" s="46"/>
    </row>
    <row r="148" spans="2:11" x14ac:dyDescent="0.2">
      <c r="B148" s="212" t="s">
        <v>165</v>
      </c>
      <c r="C148" s="200">
        <f>-X_ail+m_ail-p_ail-n_ail</f>
        <v>-1230</v>
      </c>
      <c r="D148" s="209">
        <f>-D_ail/2-E_ail-Long_tot/20</f>
        <v>-227</v>
      </c>
      <c r="E148" s="93"/>
      <c r="K148" s="46"/>
    </row>
    <row r="149" spans="2:11" x14ac:dyDescent="0.2">
      <c r="B149" s="183" t="s">
        <v>83</v>
      </c>
      <c r="C149" s="197">
        <f ca="1">-XcgPlein</f>
        <v>-703.84741959611063</v>
      </c>
      <c r="D149" s="207">
        <v>0</v>
      </c>
      <c r="E149" s="93"/>
      <c r="K149" s="46"/>
    </row>
    <row r="150" spans="2:11" x14ac:dyDescent="0.2">
      <c r="B150" s="187" t="s">
        <v>84</v>
      </c>
      <c r="C150" s="200">
        <f ca="1">-XcgVide</f>
        <v>-646.37367303609346</v>
      </c>
      <c r="D150" s="209">
        <v>0</v>
      </c>
      <c r="E150" s="93"/>
      <c r="K150" s="46"/>
    </row>
    <row r="151" spans="2:11" x14ac:dyDescent="0.2">
      <c r="B151" s="183" t="s">
        <v>85</v>
      </c>
      <c r="C151" s="197">
        <f>-XCp</f>
        <v>-986.63009479914729</v>
      </c>
      <c r="D151" s="207">
        <v>0</v>
      </c>
      <c r="E151" s="93"/>
      <c r="K151" s="46"/>
    </row>
    <row r="152" spans="2:11" x14ac:dyDescent="0.2">
      <c r="B152" s="187" t="s">
        <v>85</v>
      </c>
      <c r="C152" s="200">
        <f>-XCp</f>
        <v>-986.63009479914729</v>
      </c>
      <c r="D152" s="209">
        <f>Cn*D_ref/CritCnmin</f>
        <v>89.55114291802532</v>
      </c>
      <c r="E152" s="93"/>
      <c r="K152" s="46"/>
    </row>
    <row r="153" spans="2:11" x14ac:dyDescent="0.2">
      <c r="B153" s="185" t="s">
        <v>422</v>
      </c>
      <c r="C153" s="46">
        <f>-XCp0</f>
        <v>-986.63009479914729</v>
      </c>
      <c r="D153" s="208">
        <f>Cn0*D_ref/CritCnmin</f>
        <v>89.55114291802532</v>
      </c>
      <c r="E153" s="93"/>
      <c r="K153" s="46"/>
    </row>
    <row r="154" spans="2:11" x14ac:dyDescent="0.2">
      <c r="B154" s="185" t="s">
        <v>422</v>
      </c>
      <c r="C154" s="46">
        <f>-XCp0</f>
        <v>-986.63009479914729</v>
      </c>
      <c r="D154" s="208">
        <v>0</v>
      </c>
      <c r="E154" s="93"/>
      <c r="K154" s="46"/>
    </row>
    <row r="155" spans="2:11" x14ac:dyDescent="0.2">
      <c r="B155" s="192" t="str">
        <f>IF(n_ail&gt;0,IF(Lang="Français","Marge Statique","Static Margin"),"")</f>
        <v>Marge Statique</v>
      </c>
      <c r="C155" s="197">
        <f ca="1">(-XcgPlein-XcgVide)/2</f>
        <v>-675.11054631610205</v>
      </c>
      <c r="D155" s="207">
        <f>-D_ail/2-E_ail-Long_tot/20</f>
        <v>-227</v>
      </c>
      <c r="E155" s="93"/>
      <c r="K155" s="46"/>
    </row>
    <row r="156" spans="2:11" x14ac:dyDescent="0.2">
      <c r="B156" s="195" t="s">
        <v>171</v>
      </c>
      <c r="C156" s="46">
        <f ca="1">(C155+C157)/2</f>
        <v>-830.87032055762461</v>
      </c>
      <c r="D156" s="208">
        <f>-D_ail/2-E_ail-Long_tot/20</f>
        <v>-227</v>
      </c>
      <c r="E156" s="93"/>
      <c r="K156" s="46"/>
    </row>
    <row r="157" spans="2:11" x14ac:dyDescent="0.2">
      <c r="B157" s="212" t="s">
        <v>172</v>
      </c>
      <c r="C157" s="200">
        <f>-XCp</f>
        <v>-986.63009479914729</v>
      </c>
      <c r="D157" s="209">
        <f>-D_ail/2-E_ail-Long_tot/20</f>
        <v>-227</v>
      </c>
      <c r="E157" s="93"/>
      <c r="K157" s="46"/>
    </row>
    <row r="158" spans="2:11" x14ac:dyDescent="0.2">
      <c r="B158" s="183" t="s">
        <v>86</v>
      </c>
      <c r="C158" s="197">
        <f>IF(LEFT(Type_masquage,1)="M",0,-X_can+m_can)</f>
        <v>0</v>
      </c>
      <c r="D158" s="197">
        <f>IF(LEFT(Type_masquage,1)="M",0,D_ail/2)</f>
        <v>0</v>
      </c>
      <c r="E158" s="198">
        <f t="shared" ref="E158:E167" si="1">-D158</f>
        <v>0</v>
      </c>
      <c r="K158" s="46"/>
    </row>
    <row r="159" spans="2:11" x14ac:dyDescent="0.2">
      <c r="B159" s="185" t="s">
        <v>87</v>
      </c>
      <c r="C159" s="46">
        <f>IF(LEFT(Type_masquage,1)="M",0,-X_can+m_can-p_can)</f>
        <v>0</v>
      </c>
      <c r="D159" s="46">
        <f>IF(LEFT(Type_masquage,1)="M",0,D_ail/2+E_can)</f>
        <v>0</v>
      </c>
      <c r="E159" s="199">
        <f t="shared" si="1"/>
        <v>0</v>
      </c>
      <c r="K159" s="46"/>
    </row>
    <row r="160" spans="2:11" x14ac:dyDescent="0.2">
      <c r="B160" s="185" t="s">
        <v>88</v>
      </c>
      <c r="C160" s="46">
        <f>IF(LEFT(Type_masquage,1)="M",0,-X_can+m_can-p_can-n_can)</f>
        <v>0</v>
      </c>
      <c r="D160" s="46">
        <f>IF(LEFT(Type_masquage,1)="M",0,D_ail/2+E_can)</f>
        <v>0</v>
      </c>
      <c r="E160" s="199">
        <f t="shared" si="1"/>
        <v>0</v>
      </c>
      <c r="K160" s="46"/>
    </row>
    <row r="161" spans="2:11" x14ac:dyDescent="0.2">
      <c r="B161" s="185" t="s">
        <v>89</v>
      </c>
      <c r="C161" s="46">
        <f>IF(LEFT(Type_masquage,1)="M",0,-X_can)</f>
        <v>0</v>
      </c>
      <c r="D161" s="46">
        <f>IF(LEFT(Type_masquage,1)="M",0,D_ail/2)</f>
        <v>0</v>
      </c>
      <c r="E161" s="199">
        <f t="shared" si="1"/>
        <v>0</v>
      </c>
      <c r="K161" s="46"/>
    </row>
    <row r="162" spans="2:11" x14ac:dyDescent="0.2">
      <c r="B162" s="187" t="s">
        <v>86</v>
      </c>
      <c r="C162" s="200">
        <f>IF(LEFT(Type_masquage,1)="M",0,-X_can+m_can)</f>
        <v>0</v>
      </c>
      <c r="D162" s="200">
        <f>IF(LEFT(Type_masquage,1)="M",0,D_ail/2)</f>
        <v>0</v>
      </c>
      <c r="E162" s="201">
        <f t="shared" si="1"/>
        <v>0</v>
      </c>
      <c r="K162" s="46"/>
    </row>
    <row r="163" spans="2:11" x14ac:dyDescent="0.2">
      <c r="B163" s="183" t="s">
        <v>90</v>
      </c>
      <c r="C163" s="197">
        <f>IF(LEFT(Type_masquage,1)="B",-X_int+m_int,0)</f>
        <v>0</v>
      </c>
      <c r="D163" s="197">
        <f>IF(LEFT(Type_masquage,1)="B",D_int/2,0)</f>
        <v>0</v>
      </c>
      <c r="E163" s="198">
        <f t="shared" si="1"/>
        <v>0</v>
      </c>
      <c r="K163" s="46"/>
    </row>
    <row r="164" spans="2:11" x14ac:dyDescent="0.2">
      <c r="B164" s="185" t="s">
        <v>91</v>
      </c>
      <c r="C164" s="46">
        <f>IF(LEFT(Type_masquage,1)="B",-X_int+m_int-p_int,0)</f>
        <v>0</v>
      </c>
      <c r="D164" s="46">
        <f>IF(LEFT(Type_masquage,1)="B",D_int/2+E_int,0)</f>
        <v>0</v>
      </c>
      <c r="E164" s="199">
        <f t="shared" si="1"/>
        <v>0</v>
      </c>
      <c r="K164" s="46"/>
    </row>
    <row r="165" spans="2:11" x14ac:dyDescent="0.2">
      <c r="B165" s="185" t="s">
        <v>92</v>
      </c>
      <c r="C165" s="46">
        <f>IF(LEFT(Type_masquage,1)="B",-X_int+m_int-p_int-n_int,0)</f>
        <v>0</v>
      </c>
      <c r="D165" s="46">
        <f>IF(LEFT(Type_masquage,1)="B",D_int/2+E_int,0)</f>
        <v>0</v>
      </c>
      <c r="E165" s="199">
        <f t="shared" si="1"/>
        <v>0</v>
      </c>
      <c r="K165" s="46"/>
    </row>
    <row r="166" spans="2:11" x14ac:dyDescent="0.2">
      <c r="B166" s="185" t="s">
        <v>93</v>
      </c>
      <c r="C166" s="46">
        <f>IF(LEFT(Type_masquage,1)="B",-X_int,0)</f>
        <v>0</v>
      </c>
      <c r="D166" s="46">
        <f>IF(LEFT(Type_masquage,1)="B",D_int/2,0)</f>
        <v>0</v>
      </c>
      <c r="E166" s="199">
        <f t="shared" si="1"/>
        <v>0</v>
      </c>
      <c r="K166" s="46"/>
    </row>
    <row r="167" spans="2:11" x14ac:dyDescent="0.2">
      <c r="B167" s="187" t="s">
        <v>90</v>
      </c>
      <c r="C167" s="200">
        <f>IF(LEFT(Type_masquage,1)="B",-X_int+m_int,0)</f>
        <v>0</v>
      </c>
      <c r="D167" s="200">
        <f>IF(LEFT(Type_masquage,1)="B",D_int/2,0)</f>
        <v>0</v>
      </c>
      <c r="E167" s="201">
        <f t="shared" si="1"/>
        <v>0</v>
      </c>
      <c r="K167" s="46"/>
    </row>
    <row r="168" spans="2:11" x14ac:dyDescent="0.2">
      <c r="B168" s="45" t="s">
        <v>94</v>
      </c>
      <c r="C168" s="46">
        <f>-MAX(Long_tot, X_ail-m_ail+p_ail+n_ail, (E_ail+D_ail/2)*3.2)*1.01</f>
        <v>-1313</v>
      </c>
      <c r="D168" s="46">
        <f>MAX(E_ail+D_ail/2, Long_tot/3)</f>
        <v>433.33333333333331</v>
      </c>
      <c r="E168" s="93"/>
      <c r="K168" s="46"/>
    </row>
    <row r="169" spans="2:11" x14ac:dyDescent="0.2">
      <c r="B169" s="45" t="s">
        <v>94</v>
      </c>
      <c r="C169" s="46">
        <f>C168</f>
        <v>-1313</v>
      </c>
      <c r="D169" s="46">
        <f>-D168</f>
        <v>-433.33333333333331</v>
      </c>
      <c r="E169" s="93"/>
      <c r="K169" s="46"/>
    </row>
    <row r="170" spans="2:11" x14ac:dyDescent="0.2">
      <c r="B170" s="183" t="s">
        <v>95</v>
      </c>
      <c r="C170" s="197">
        <f ca="1">-XpropuRef+Long_propu</f>
        <v>-762</v>
      </c>
      <c r="D170" s="207">
        <f ca="1">-Diam_propu/2</f>
        <v>-27</v>
      </c>
      <c r="E170" s="93"/>
      <c r="K170" s="46"/>
    </row>
    <row r="171" spans="2:11" x14ac:dyDescent="0.2">
      <c r="B171" s="185" t="s">
        <v>96</v>
      </c>
      <c r="C171" s="46">
        <f ca="1">-XpropuRef+Long_propu</f>
        <v>-762</v>
      </c>
      <c r="D171" s="208">
        <f ca="1">Diam_propu/2</f>
        <v>27</v>
      </c>
      <c r="E171" s="93"/>
      <c r="K171" s="46"/>
    </row>
    <row r="172" spans="2:11" x14ac:dyDescent="0.2">
      <c r="B172" s="185" t="s">
        <v>97</v>
      </c>
      <c r="C172" s="46">
        <f>-XpropuRef</f>
        <v>-1250</v>
      </c>
      <c r="D172" s="208">
        <f ca="1">Diam_propu/2</f>
        <v>27</v>
      </c>
      <c r="E172" s="93"/>
      <c r="K172" s="46"/>
    </row>
    <row r="173" spans="2:11" x14ac:dyDescent="0.2">
      <c r="B173" s="185" t="s">
        <v>98</v>
      </c>
      <c r="C173" s="46">
        <f>-XpropuRef</f>
        <v>-1250</v>
      </c>
      <c r="D173" s="208">
        <f ca="1">-Diam_propu/2</f>
        <v>-27</v>
      </c>
      <c r="E173" s="93"/>
      <c r="K173" s="46"/>
    </row>
    <row r="174" spans="2:11" x14ac:dyDescent="0.2">
      <c r="B174" s="187" t="s">
        <v>99</v>
      </c>
      <c r="C174" s="200">
        <f ca="1">-XpropuRef+Long_propu</f>
        <v>-762</v>
      </c>
      <c r="D174" s="209">
        <f ca="1">-Diam_propu/2</f>
        <v>-27</v>
      </c>
      <c r="E174" s="93"/>
      <c r="F174" s="192" t="s">
        <v>160</v>
      </c>
      <c r="G174" s="193" t="s">
        <v>161</v>
      </c>
      <c r="H174" s="194" t="s">
        <v>162</v>
      </c>
      <c r="K174" s="46"/>
    </row>
    <row r="175" spans="2:11" x14ac:dyDescent="0.2">
      <c r="B175" s="183" t="s">
        <v>72</v>
      </c>
      <c r="C175" s="197">
        <v>0</v>
      </c>
      <c r="D175" s="197">
        <v>0</v>
      </c>
      <c r="E175" s="198">
        <f t="shared" ref="E175:E180" si="2">-D175</f>
        <v>0</v>
      </c>
      <c r="F175" s="195">
        <v>0</v>
      </c>
      <c r="G175" s="45">
        <v>0</v>
      </c>
      <c r="H175" s="189">
        <v>0</v>
      </c>
      <c r="K175" s="46"/>
    </row>
    <row r="176" spans="2:11" x14ac:dyDescent="0.2">
      <c r="B176" s="185" t="s">
        <v>73</v>
      </c>
      <c r="C176" s="46">
        <f>-Long_ogive*0.1</f>
        <v>-27.5</v>
      </c>
      <c r="D176" s="46">
        <f>IF(LEFT(Forme_ogive,5)="Parab",H176,IF(LEFT(Forme_ogive,4)="Ogiv",G176,IF(LEFT(Forme_ogive,3)="Con",F176)))</f>
        <v>4.2</v>
      </c>
      <c r="E176" s="199">
        <f t="shared" si="2"/>
        <v>-4.2</v>
      </c>
      <c r="F176" s="185">
        <f>D_og/2*0.1</f>
        <v>4.2</v>
      </c>
      <c r="G176" s="45">
        <f>D_og/2*0.2</f>
        <v>8.4</v>
      </c>
      <c r="H176" s="189">
        <f>D_og/2*0.5</f>
        <v>21</v>
      </c>
      <c r="K176" s="46"/>
    </row>
    <row r="177" spans="2:11" x14ac:dyDescent="0.2">
      <c r="B177" s="185" t="s">
        <v>73</v>
      </c>
      <c r="C177" s="46">
        <f>-Long_ogive/4</f>
        <v>-68.75</v>
      </c>
      <c r="D177" s="46">
        <f>IF(LEFT(Forme_ogive,5)="Parab",H177,IF(LEFT(Forme_ogive,4)="Ogiv",G177,IF(LEFT(Forme_ogive,3)="Con",F177)))</f>
        <v>10.5</v>
      </c>
      <c r="E177" s="199">
        <f t="shared" si="2"/>
        <v>-10.5</v>
      </c>
      <c r="F177" s="185">
        <f>D_og/2*1/4</f>
        <v>10.5</v>
      </c>
      <c r="G177" s="45">
        <f>D_og/2/2</f>
        <v>21</v>
      </c>
      <c r="H177" s="189">
        <f>D_og/2*0.7</f>
        <v>29.4</v>
      </c>
      <c r="K177" s="46"/>
    </row>
    <row r="178" spans="2:11" x14ac:dyDescent="0.2">
      <c r="B178" s="185" t="s">
        <v>73</v>
      </c>
      <c r="C178" s="46">
        <f>-Long_ogive/2</f>
        <v>-137.5</v>
      </c>
      <c r="D178" s="46">
        <f>IF(LEFT(Forme_ogive,5)="Parab",H178,IF(LEFT(Forme_ogive,4)="Ogiv",G178,IF(LEFT(Forme_ogive,3)="Con",F178)))</f>
        <v>21</v>
      </c>
      <c r="E178" s="199">
        <f t="shared" si="2"/>
        <v>-21</v>
      </c>
      <c r="F178" s="185">
        <f>D_og/2/2</f>
        <v>21</v>
      </c>
      <c r="G178" s="45">
        <f>D_og/2*3/4</f>
        <v>31.5</v>
      </c>
      <c r="H178" s="189">
        <f>D_og/2*0.88</f>
        <v>36.96</v>
      </c>
      <c r="K178" s="46"/>
    </row>
    <row r="179" spans="2:11" x14ac:dyDescent="0.2">
      <c r="B179" s="185" t="s">
        <v>73</v>
      </c>
      <c r="C179" s="46">
        <f>-Long_ogive*3/4</f>
        <v>-206.25</v>
      </c>
      <c r="D179" s="46">
        <f>IF(LEFT(Forme_ogive,5)="Parab",H179,IF(LEFT(Forme_ogive,4)="Ogiv",G179,IF(LEFT(Forme_ogive,3)="Con",F179)))</f>
        <v>31.5</v>
      </c>
      <c r="E179" s="199">
        <f t="shared" si="2"/>
        <v>-31.5</v>
      </c>
      <c r="F179" s="185">
        <f>D_og/2*3/4</f>
        <v>31.5</v>
      </c>
      <c r="G179" s="45">
        <f>D_og/2*0.9</f>
        <v>37.800000000000004</v>
      </c>
      <c r="H179" s="189">
        <f>D_og/2*0.95</f>
        <v>39.9</v>
      </c>
      <c r="K179" s="46"/>
    </row>
    <row r="180" spans="2:11" x14ac:dyDescent="0.2">
      <c r="B180" s="187" t="s">
        <v>73</v>
      </c>
      <c r="C180" s="200">
        <f>-Long_ogive</f>
        <v>-275</v>
      </c>
      <c r="D180" s="200">
        <f>D_og/2</f>
        <v>42</v>
      </c>
      <c r="E180" s="201">
        <f t="shared" si="2"/>
        <v>-42</v>
      </c>
      <c r="F180" s="187">
        <f>D_og/2</f>
        <v>42</v>
      </c>
      <c r="G180" s="196">
        <f>D_og/2</f>
        <v>42</v>
      </c>
      <c r="H180" s="190">
        <f>D_og/2</f>
        <v>42</v>
      </c>
      <c r="K180" s="26"/>
    </row>
    <row r="181" spans="2:11" x14ac:dyDescent="0.2">
      <c r="B181" s="45" t="s">
        <v>100</v>
      </c>
      <c r="C181" s="45" t="s">
        <v>101</v>
      </c>
      <c r="D181" s="183" t="s">
        <v>100</v>
      </c>
      <c r="E181" s="204" t="s">
        <v>101</v>
      </c>
      <c r="K181" s="45"/>
    </row>
    <row r="182" spans="2:11" x14ac:dyDescent="0.2">
      <c r="B182" s="183">
        <v>0</v>
      </c>
      <c r="C182" s="202">
        <f>CritCnmin</f>
        <v>15</v>
      </c>
      <c r="D182" s="185">
        <v>0.5</v>
      </c>
      <c r="E182" s="205">
        <f t="shared" ref="E182:E187" si="3">CritMsCnmin/D182</f>
        <v>80</v>
      </c>
      <c r="K182" s="45"/>
    </row>
    <row r="183" spans="2:11" x14ac:dyDescent="0.2">
      <c r="B183" s="187">
        <v>7</v>
      </c>
      <c r="C183" s="196">
        <f>CritCnmin</f>
        <v>15</v>
      </c>
      <c r="D183" s="185">
        <v>1</v>
      </c>
      <c r="E183" s="205">
        <f t="shared" si="3"/>
        <v>40</v>
      </c>
      <c r="K183" s="45"/>
    </row>
    <row r="184" spans="2:11" x14ac:dyDescent="0.2">
      <c r="B184" s="183">
        <v>0</v>
      </c>
      <c r="C184" s="202">
        <f>CritCnmax</f>
        <v>40</v>
      </c>
      <c r="D184" s="185">
        <v>2</v>
      </c>
      <c r="E184" s="205">
        <f t="shared" si="3"/>
        <v>20</v>
      </c>
      <c r="K184" s="45"/>
    </row>
    <row r="185" spans="2:11" x14ac:dyDescent="0.2">
      <c r="B185" s="187">
        <v>7</v>
      </c>
      <c r="C185" s="196">
        <f>CritCnmax</f>
        <v>40</v>
      </c>
      <c r="D185" s="185">
        <v>3</v>
      </c>
      <c r="E185" s="205">
        <f t="shared" si="3"/>
        <v>13.333333333333334</v>
      </c>
      <c r="K185" s="45"/>
    </row>
    <row r="186" spans="2:11" x14ac:dyDescent="0.2">
      <c r="B186" s="183">
        <f>CritMsmin</f>
        <v>2</v>
      </c>
      <c r="C186" s="202">
        <v>0</v>
      </c>
      <c r="D186" s="185">
        <v>5</v>
      </c>
      <c r="E186" s="205">
        <f t="shared" si="3"/>
        <v>8</v>
      </c>
      <c r="K186" s="45"/>
    </row>
    <row r="187" spans="2:11" x14ac:dyDescent="0.2">
      <c r="B187" s="187">
        <f>CritMsmin</f>
        <v>2</v>
      </c>
      <c r="C187" s="196">
        <v>55</v>
      </c>
      <c r="D187" s="185">
        <v>7</v>
      </c>
      <c r="E187" s="205">
        <f t="shared" si="3"/>
        <v>5.7142857142857144</v>
      </c>
      <c r="K187" s="45"/>
    </row>
    <row r="188" spans="2:11" x14ac:dyDescent="0.2">
      <c r="B188" s="183">
        <f>CritMsmax</f>
        <v>6</v>
      </c>
      <c r="C188" s="202">
        <v>0</v>
      </c>
      <c r="D188" s="185">
        <v>1</v>
      </c>
      <c r="E188" s="205">
        <f t="shared" ref="E188:E193" si="4">CritMsCnmax/D188</f>
        <v>100</v>
      </c>
      <c r="K188" s="45"/>
    </row>
    <row r="189" spans="2:11" x14ac:dyDescent="0.2">
      <c r="B189" s="187">
        <f>CritMsmax</f>
        <v>6</v>
      </c>
      <c r="C189" s="196">
        <v>55</v>
      </c>
      <c r="D189" s="185">
        <v>2</v>
      </c>
      <c r="E189" s="205">
        <f t="shared" si="4"/>
        <v>50</v>
      </c>
      <c r="K189" s="45"/>
    </row>
    <row r="190" spans="2:11" x14ac:dyDescent="0.2">
      <c r="B190" s="191">
        <f ca="1">MS_min</f>
        <v>3.3664604190837699</v>
      </c>
      <c r="C190" s="203">
        <f>Cn</f>
        <v>15.99127552107595</v>
      </c>
      <c r="D190" s="185">
        <v>3</v>
      </c>
      <c r="E190" s="205">
        <f t="shared" si="4"/>
        <v>33.333333333333336</v>
      </c>
      <c r="K190" s="45"/>
    </row>
    <row r="191" spans="2:11" x14ac:dyDescent="0.2">
      <c r="B191" s="514">
        <f ca="1">(XCp0-XcgPlein)/D_ref</f>
        <v>3.3664604190837699</v>
      </c>
      <c r="C191" s="515">
        <f>Cn0</f>
        <v>15.99127552107595</v>
      </c>
      <c r="D191" s="185">
        <v>4</v>
      </c>
      <c r="E191" s="205">
        <f t="shared" si="4"/>
        <v>25</v>
      </c>
      <c r="K191" s="45"/>
    </row>
    <row r="192" spans="2:11" x14ac:dyDescent="0.2">
      <c r="B192" s="514">
        <f ca="1">(XCp0-XcgVide)/D_ref</f>
        <v>4.0506716876554023</v>
      </c>
      <c r="C192" s="515">
        <f>Cn0</f>
        <v>15.99127552107595</v>
      </c>
      <c r="D192" s="185">
        <v>6</v>
      </c>
      <c r="E192" s="205">
        <f t="shared" si="4"/>
        <v>16.666666666666668</v>
      </c>
      <c r="K192" s="45"/>
    </row>
    <row r="193" spans="2:11" x14ac:dyDescent="0.2">
      <c r="B193" s="514">
        <f ca="1">(XCp-XcgVide)/D_ref</f>
        <v>4.0506716876554023</v>
      </c>
      <c r="C193" s="515">
        <f>Cn</f>
        <v>15.99127552107595</v>
      </c>
      <c r="D193" s="187">
        <v>7</v>
      </c>
      <c r="E193" s="206">
        <f t="shared" si="4"/>
        <v>14.285714285714286</v>
      </c>
      <c r="K193" s="45"/>
    </row>
    <row r="194" spans="2:11" x14ac:dyDescent="0.2">
      <c r="B194" s="514">
        <f ca="1">MS_min</f>
        <v>3.3664604190837699</v>
      </c>
      <c r="C194" s="516">
        <f>Cn</f>
        <v>15.99127552107595</v>
      </c>
      <c r="D194" s="45"/>
      <c r="E194" s="92"/>
      <c r="K194" s="45"/>
    </row>
    <row r="195" spans="2:11" x14ac:dyDescent="0.2">
      <c r="B195" s="183">
        <v>0</v>
      </c>
      <c r="C195" s="202">
        <f>(CritCnmin+CritCnmax)/2</f>
        <v>27.5</v>
      </c>
      <c r="D195" s="26"/>
      <c r="E195" s="90"/>
      <c r="K195" s="26"/>
    </row>
    <row r="196" spans="2:11" x14ac:dyDescent="0.2">
      <c r="B196" s="185">
        <f>MAX(CritMsmin,CritMsCnmin/C196)</f>
        <v>2</v>
      </c>
      <c r="C196" s="45">
        <f>(CritCnmin+CritCnmax)/2</f>
        <v>27.5</v>
      </c>
      <c r="D196" s="26"/>
      <c r="E196" s="90"/>
      <c r="K196" s="26"/>
    </row>
    <row r="197" spans="2:11" x14ac:dyDescent="0.2">
      <c r="B197" s="185">
        <f>MIN(CritMsmax,CritMsCnmax/C197)</f>
        <v>3.6363636363636362</v>
      </c>
      <c r="C197" s="189">
        <f>(CritCnmin+CritCnmax)/2</f>
        <v>27.5</v>
      </c>
    </row>
    <row r="198" spans="2:11" x14ac:dyDescent="0.2">
      <c r="B198" s="187">
        <v>7</v>
      </c>
      <c r="C198" s="190">
        <f>(CritCnmin+CritCnmax)/2</f>
        <v>27.5</v>
      </c>
    </row>
    <row r="199" spans="2:11" x14ac:dyDescent="0.2">
      <c r="B199" s="183">
        <f>(CritMsmin+CritMsmax)/2</f>
        <v>4</v>
      </c>
      <c r="C199" s="184">
        <v>0</v>
      </c>
    </row>
    <row r="200" spans="2:11" x14ac:dyDescent="0.2">
      <c r="B200" s="185">
        <f>(CritMsmin+CritMsmax)/2</f>
        <v>4</v>
      </c>
      <c r="C200" s="186">
        <f>MAX(CritCnmin,CritMsCnmin/B200)</f>
        <v>15</v>
      </c>
    </row>
    <row r="201" spans="2:11" x14ac:dyDescent="0.2">
      <c r="B201" s="185">
        <f>(CritMsmin+CritMsmax)/2</f>
        <v>4</v>
      </c>
      <c r="C201" s="186">
        <f>MIN(CritCnmax,CritMsCnmax/B201)</f>
        <v>25</v>
      </c>
    </row>
    <row r="202" spans="2:11" x14ac:dyDescent="0.2">
      <c r="B202" s="187">
        <f>(CritMsmin+CritMsmax)/2</f>
        <v>4</v>
      </c>
      <c r="C202" s="188">
        <v>55</v>
      </c>
    </row>
    <row r="203" spans="2:11" x14ac:dyDescent="0.2">
      <c r="D203" s="475"/>
    </row>
    <row r="204" spans="2:11" x14ac:dyDescent="0.2">
      <c r="B204" s="477" t="s">
        <v>405</v>
      </c>
      <c r="C204" s="31" t="b">
        <f ca="1">(OR(C205:C210))</f>
        <v>1</v>
      </c>
      <c r="D204" s="475"/>
    </row>
    <row r="205" spans="2:11" x14ac:dyDescent="0.2">
      <c r="B205" s="476" t="s">
        <v>402</v>
      </c>
      <c r="C205" s="475" t="b">
        <f ca="1">AND(Type_propu="H2O",RIGHT(Type_fusee,1)=" ")</f>
        <v>0</v>
      </c>
      <c r="D205" s="475"/>
    </row>
    <row r="206" spans="2:11" x14ac:dyDescent="0.2">
      <c r="B206" s="476" t="s">
        <v>119</v>
      </c>
      <c r="C206" s="475" t="b">
        <f ca="1">AND(Type_propu="Fusex",RIGHT(Type_fusee,1)=".")</f>
        <v>1</v>
      </c>
      <c r="D206" s="475"/>
    </row>
    <row r="207" spans="2:11" x14ac:dyDescent="0.2">
      <c r="B207" s="476" t="s">
        <v>403</v>
      </c>
      <c r="C207" s="475" t="b">
        <f ca="1">LEFT(Type_propu,5)=LEFT(Type_fusee,5)</f>
        <v>0</v>
      </c>
      <c r="D207" s="475"/>
    </row>
    <row r="208" spans="2:11" x14ac:dyDescent="0.2">
      <c r="B208" s="476" t="s">
        <v>404</v>
      </c>
      <c r="C208" s="475" t="b">
        <f ca="1">AND(RIGHT(Type_propu,1)="N",LEFT(Type_fusee,4)="Mini")</f>
        <v>0</v>
      </c>
      <c r="D208" s="475"/>
    </row>
    <row r="209" spans="1:3" x14ac:dyDescent="0.2">
      <c r="B209" s="476" t="s">
        <v>406</v>
      </c>
      <c r="C209" s="475" t="b">
        <f ca="1">AND(LEFT(Type_propu,5)="MiniR",LEFT(Type_fusee,1)="R")</f>
        <v>0</v>
      </c>
    </row>
    <row r="210" spans="1:3" x14ac:dyDescent="0.2">
      <c r="B210" s="476" t="s">
        <v>396</v>
      </c>
      <c r="C210" s="475" t="b">
        <f ca="1">AND(LEFT(Type_propu,4)="Mini",LEFT(Type_fusee,1)=",")</f>
        <v>0</v>
      </c>
    </row>
    <row r="223" spans="1:3" x14ac:dyDescent="0.2">
      <c r="A223" s="24" t="s">
        <v>463</v>
      </c>
    </row>
    <row r="226" spans="1:1" x14ac:dyDescent="0.2">
      <c r="A226" s="24" t="s">
        <v>476</v>
      </c>
    </row>
    <row r="228" spans="1:1" x14ac:dyDescent="0.2">
      <c r="A228" s="24" t="s">
        <v>477</v>
      </c>
    </row>
    <row r="230" spans="1:1" x14ac:dyDescent="0.2">
      <c r="A230" s="24" t="s">
        <v>478</v>
      </c>
    </row>
    <row r="232" spans="1:1" x14ac:dyDescent="0.2">
      <c r="A232" s="24" t="s">
        <v>479</v>
      </c>
    </row>
    <row r="233" spans="1:1" x14ac:dyDescent="0.2">
      <c r="A233" s="24" t="s">
        <v>480</v>
      </c>
    </row>
    <row r="234" spans="1:1" x14ac:dyDescent="0.2">
      <c r="A234" s="24" t="s">
        <v>481</v>
      </c>
    </row>
    <row r="235" spans="1:1" x14ac:dyDescent="0.2">
      <c r="A235" s="24" t="s">
        <v>482</v>
      </c>
    </row>
    <row r="236" spans="1:1" x14ac:dyDescent="0.2">
      <c r="A236" s="24" t="s">
        <v>483</v>
      </c>
    </row>
    <row r="237" spans="1:1" x14ac:dyDescent="0.2">
      <c r="A237" s="24" t="s">
        <v>484</v>
      </c>
    </row>
    <row r="238" spans="1:1" x14ac:dyDescent="0.2">
      <c r="A238" s="24" t="s">
        <v>184</v>
      </c>
    </row>
    <row r="239" spans="1:1" x14ac:dyDescent="0.2">
      <c r="A239" s="24" t="s">
        <v>485</v>
      </c>
    </row>
    <row r="240" spans="1:1" x14ac:dyDescent="0.2">
      <c r="A240" s="24" t="s">
        <v>486</v>
      </c>
    </row>
    <row r="241" spans="1:1" x14ac:dyDescent="0.2">
      <c r="A241" s="24" t="s">
        <v>184</v>
      </c>
    </row>
    <row r="242" spans="1:1" x14ac:dyDescent="0.2">
      <c r="A242" s="24" t="s">
        <v>487</v>
      </c>
    </row>
    <row r="244" spans="1:1" x14ac:dyDescent="0.2">
      <c r="A244" s="24" t="s">
        <v>488</v>
      </c>
    </row>
    <row r="246" spans="1:1" x14ac:dyDescent="0.2">
      <c r="A246" s="24" t="s">
        <v>489</v>
      </c>
    </row>
    <row r="248" spans="1:1" x14ac:dyDescent="0.2">
      <c r="A248" s="24" t="s">
        <v>490</v>
      </c>
    </row>
    <row r="249" spans="1:1" x14ac:dyDescent="0.2">
      <c r="A249" s="24" t="s">
        <v>491</v>
      </c>
    </row>
    <row r="250" spans="1:1" x14ac:dyDescent="0.2">
      <c r="A250" s="24" t="s">
        <v>492</v>
      </c>
    </row>
    <row r="251" spans="1:1" x14ac:dyDescent="0.2">
      <c r="A251" s="24" t="s">
        <v>493</v>
      </c>
    </row>
    <row r="252" spans="1:1" x14ac:dyDescent="0.2">
      <c r="A252" s="24" t="s">
        <v>494</v>
      </c>
    </row>
    <row r="254" spans="1:1" x14ac:dyDescent="0.2">
      <c r="A254" s="24" t="s">
        <v>495</v>
      </c>
    </row>
    <row r="255" spans="1:1" x14ac:dyDescent="0.2">
      <c r="A255" s="24" t="s">
        <v>496</v>
      </c>
    </row>
    <row r="256" spans="1:1" x14ac:dyDescent="0.2">
      <c r="A256" s="24" t="s">
        <v>497</v>
      </c>
    </row>
    <row r="257" spans="1:1" x14ac:dyDescent="0.2">
      <c r="A257" s="24" t="s">
        <v>498</v>
      </c>
    </row>
    <row r="258" spans="1:1" x14ac:dyDescent="0.2">
      <c r="A258" s="24" t="s">
        <v>499</v>
      </c>
    </row>
    <row r="261" spans="1:1" x14ac:dyDescent="0.2">
      <c r="A261" s="24" t="s">
        <v>500</v>
      </c>
    </row>
    <row r="262" spans="1:1" x14ac:dyDescent="0.2">
      <c r="A262" s="24" t="s">
        <v>501</v>
      </c>
    </row>
    <row r="263" spans="1:1" x14ac:dyDescent="0.2">
      <c r="A263" s="24" t="s">
        <v>502</v>
      </c>
    </row>
    <row r="264" spans="1:1" x14ac:dyDescent="0.2">
      <c r="A264" s="24" t="s">
        <v>503</v>
      </c>
    </row>
    <row r="265" spans="1:1" x14ac:dyDescent="0.2">
      <c r="A265" s="24" t="s">
        <v>504</v>
      </c>
    </row>
    <row r="267" spans="1:1" x14ac:dyDescent="0.2">
      <c r="A267" s="24" t="s">
        <v>497</v>
      </c>
    </row>
    <row r="268" spans="1:1" x14ac:dyDescent="0.2">
      <c r="A268" s="24" t="s">
        <v>498</v>
      </c>
    </row>
    <row r="269" spans="1:1" x14ac:dyDescent="0.2">
      <c r="A269" s="24" t="s">
        <v>505</v>
      </c>
    </row>
    <row r="272" spans="1:1" x14ac:dyDescent="0.2">
      <c r="A272" s="24" t="s">
        <v>465</v>
      </c>
    </row>
    <row r="273" spans="1:1" x14ac:dyDescent="0.2">
      <c r="A273" s="24" t="s">
        <v>466</v>
      </c>
    </row>
    <row r="275" spans="1:1" x14ac:dyDescent="0.2">
      <c r="A275" s="24" t="s">
        <v>506</v>
      </c>
    </row>
    <row r="277" spans="1:1" x14ac:dyDescent="0.2">
      <c r="A277" s="24" t="s">
        <v>505</v>
      </c>
    </row>
    <row r="280" spans="1:1" x14ac:dyDescent="0.2">
      <c r="A280" s="24" t="s">
        <v>467</v>
      </c>
    </row>
    <row r="281" spans="1:1" x14ac:dyDescent="0.2">
      <c r="A281" s="24" t="s">
        <v>468</v>
      </c>
    </row>
    <row r="282" spans="1:1" x14ac:dyDescent="0.2">
      <c r="A282" s="24" t="s">
        <v>507</v>
      </c>
    </row>
    <row r="283" spans="1:1" x14ac:dyDescent="0.2">
      <c r="A283" s="24" t="s">
        <v>508</v>
      </c>
    </row>
    <row r="284" spans="1:1" x14ac:dyDescent="0.2">
      <c r="A284" s="24" t="s">
        <v>505</v>
      </c>
    </row>
    <row r="285" spans="1:1" x14ac:dyDescent="0.2">
      <c r="A285" s="24" t="s">
        <v>469</v>
      </c>
    </row>
    <row r="287" spans="1:1" x14ac:dyDescent="0.2">
      <c r="A287" s="24" t="s">
        <v>509</v>
      </c>
    </row>
    <row r="288" spans="1:1" x14ac:dyDescent="0.2">
      <c r="A288" s="24" t="s">
        <v>507</v>
      </c>
    </row>
    <row r="289" spans="1:1" x14ac:dyDescent="0.2">
      <c r="A289" s="24" t="s">
        <v>510</v>
      </c>
    </row>
    <row r="291" spans="1:1" x14ac:dyDescent="0.2">
      <c r="A291" s="24" t="s">
        <v>505</v>
      </c>
    </row>
    <row r="294" spans="1:1" x14ac:dyDescent="0.2">
      <c r="A294" s="24" t="s">
        <v>511</v>
      </c>
    </row>
    <row r="295" spans="1:1" x14ac:dyDescent="0.2">
      <c r="A295" s="24" t="s">
        <v>512</v>
      </c>
    </row>
    <row r="296" spans="1:1" x14ac:dyDescent="0.2">
      <c r="A296" s="24" t="s">
        <v>513</v>
      </c>
    </row>
    <row r="298" spans="1:1" x14ac:dyDescent="0.2">
      <c r="A298" s="24" t="s">
        <v>505</v>
      </c>
    </row>
    <row r="301" spans="1:1" x14ac:dyDescent="0.2">
      <c r="A301" s="24" t="s">
        <v>514</v>
      </c>
    </row>
    <row r="302" spans="1:1" x14ac:dyDescent="0.2">
      <c r="A302" s="24" t="s">
        <v>515</v>
      </c>
    </row>
    <row r="304" spans="1:1" x14ac:dyDescent="0.2">
      <c r="A304" s="24" t="s">
        <v>516</v>
      </c>
    </row>
    <row r="305" spans="1:1" x14ac:dyDescent="0.2">
      <c r="A305" s="24" t="s">
        <v>517</v>
      </c>
    </row>
    <row r="306" spans="1:1" x14ac:dyDescent="0.2">
      <c r="A306" s="24" t="s">
        <v>505</v>
      </c>
    </row>
    <row r="309" spans="1:1" x14ac:dyDescent="0.2">
      <c r="A309" s="24" t="s">
        <v>514</v>
      </c>
    </row>
    <row r="310" spans="1:1" x14ac:dyDescent="0.2">
      <c r="A310" s="24" t="s">
        <v>518</v>
      </c>
    </row>
    <row r="311" spans="1:1" x14ac:dyDescent="0.2">
      <c r="A311" s="24" t="s">
        <v>514</v>
      </c>
    </row>
    <row r="312" spans="1:1" x14ac:dyDescent="0.2">
      <c r="A312" s="24" t="s">
        <v>519</v>
      </c>
    </row>
    <row r="314" spans="1:1" x14ac:dyDescent="0.2">
      <c r="A314" s="24" t="s">
        <v>520</v>
      </c>
    </row>
    <row r="316" spans="1:1" x14ac:dyDescent="0.2">
      <c r="A316" s="24" t="s">
        <v>505</v>
      </c>
    </row>
    <row r="319" spans="1:1" x14ac:dyDescent="0.2">
      <c r="A319" s="24" t="s">
        <v>514</v>
      </c>
    </row>
    <row r="320" spans="1:1" x14ac:dyDescent="0.2">
      <c r="A320" s="24" t="s">
        <v>521</v>
      </c>
    </row>
    <row r="321" spans="1:1" x14ac:dyDescent="0.2">
      <c r="A321" s="24" t="s">
        <v>522</v>
      </c>
    </row>
    <row r="322" spans="1:1" x14ac:dyDescent="0.2">
      <c r="A322" s="24" t="s">
        <v>523</v>
      </c>
    </row>
    <row r="324" spans="1:1" x14ac:dyDescent="0.2">
      <c r="A324" s="24" t="s">
        <v>505</v>
      </c>
    </row>
    <row r="326" spans="1:1" x14ac:dyDescent="0.2">
      <c r="A326" s="24" t="s">
        <v>464</v>
      </c>
    </row>
    <row r="329" spans="1:1" x14ac:dyDescent="0.2">
      <c r="A329" s="24" t="s">
        <v>470</v>
      </c>
    </row>
    <row r="330" spans="1:1" x14ac:dyDescent="0.2">
      <c r="A330" s="24" t="s">
        <v>471</v>
      </c>
    </row>
    <row r="331" spans="1:1" x14ac:dyDescent="0.2">
      <c r="A331" s="24" t="s">
        <v>524</v>
      </c>
    </row>
    <row r="332" spans="1:1" x14ac:dyDescent="0.2">
      <c r="A332" s="24" t="s">
        <v>525</v>
      </c>
    </row>
    <row r="333" spans="1:1" x14ac:dyDescent="0.2">
      <c r="A333" s="24" t="s">
        <v>526</v>
      </c>
    </row>
    <row r="334" spans="1:1" x14ac:dyDescent="0.2">
      <c r="A334" s="24" t="s">
        <v>527</v>
      </c>
    </row>
    <row r="335" spans="1:1" x14ac:dyDescent="0.2">
      <c r="A335" s="24" t="s">
        <v>528</v>
      </c>
    </row>
    <row r="336" spans="1:1" x14ac:dyDescent="0.2">
      <c r="A336" s="24" t="s">
        <v>481</v>
      </c>
    </row>
    <row r="337" spans="1:1" x14ac:dyDescent="0.2">
      <c r="A337" s="24" t="s">
        <v>472</v>
      </c>
    </row>
    <row r="340" spans="1:1" x14ac:dyDescent="0.2">
      <c r="A340" s="24" t="s">
        <v>473</v>
      </c>
    </row>
    <row r="342" spans="1:1" x14ac:dyDescent="0.2">
      <c r="A342" s="24" t="s">
        <v>529</v>
      </c>
    </row>
    <row r="343" spans="1:1" x14ac:dyDescent="0.2">
      <c r="A343" s="24" t="s">
        <v>530</v>
      </c>
    </row>
    <row r="344" spans="1:1" x14ac:dyDescent="0.2">
      <c r="A344" s="24" t="s">
        <v>531</v>
      </c>
    </row>
    <row r="345" spans="1:1" x14ac:dyDescent="0.2">
      <c r="A345" s="24" t="s">
        <v>532</v>
      </c>
    </row>
    <row r="346" spans="1:1" x14ac:dyDescent="0.2">
      <c r="A346" s="24" t="s">
        <v>533</v>
      </c>
    </row>
    <row r="347" spans="1:1" x14ac:dyDescent="0.2">
      <c r="A347" s="24" t="s">
        <v>481</v>
      </c>
    </row>
    <row r="348" spans="1:1" x14ac:dyDescent="0.2">
      <c r="A348" s="24" t="s">
        <v>474</v>
      </c>
    </row>
    <row r="349" spans="1:1" x14ac:dyDescent="0.2">
      <c r="A349" s="24" t="s">
        <v>534</v>
      </c>
    </row>
    <row r="350" spans="1:1" x14ac:dyDescent="0.2">
      <c r="A350" s="24" t="s">
        <v>535</v>
      </c>
    </row>
    <row r="352" spans="1:1" x14ac:dyDescent="0.2">
      <c r="A352" s="24" t="s">
        <v>505</v>
      </c>
    </row>
    <row r="355" spans="1:1" x14ac:dyDescent="0.2">
      <c r="A355" s="24" t="s">
        <v>464</v>
      </c>
    </row>
    <row r="361" spans="1:1" x14ac:dyDescent="0.2">
      <c r="A361" s="24" t="s">
        <v>475</v>
      </c>
    </row>
  </sheetData>
  <sheetProtection password="C6AC" sheet="1"/>
  <dataConsolidate/>
  <mergeCells count="56">
    <mergeCell ref="H33:I34"/>
    <mergeCell ref="M4:P4"/>
    <mergeCell ref="M2:P2"/>
    <mergeCell ref="N13:O13"/>
    <mergeCell ref="N12:O12"/>
    <mergeCell ref="O9:P9"/>
    <mergeCell ref="O8:P8"/>
    <mergeCell ref="O7:P7"/>
    <mergeCell ref="H27:I27"/>
    <mergeCell ref="M18:N18"/>
    <mergeCell ref="L3:M3"/>
    <mergeCell ref="N11:O11"/>
    <mergeCell ref="O6:P6"/>
    <mergeCell ref="O5:P5"/>
    <mergeCell ref="O17:P17"/>
    <mergeCell ref="O18:P18"/>
    <mergeCell ref="C26:D26"/>
    <mergeCell ref="C18:D18"/>
    <mergeCell ref="C19:D19"/>
    <mergeCell ref="O23:P23"/>
    <mergeCell ref="O24:P24"/>
    <mergeCell ref="C22:D22"/>
    <mergeCell ref="C21:D21"/>
    <mergeCell ref="C23:D23"/>
    <mergeCell ref="C2:D3"/>
    <mergeCell ref="C4:D4"/>
    <mergeCell ref="M22:N22"/>
    <mergeCell ref="M19:N19"/>
    <mergeCell ref="M9:N9"/>
    <mergeCell ref="M7:N7"/>
    <mergeCell ref="M8:N8"/>
    <mergeCell ref="C7:D7"/>
    <mergeCell ref="C10:D10"/>
    <mergeCell ref="M5:N5"/>
    <mergeCell ref="M6:N6"/>
    <mergeCell ref="M20:N20"/>
    <mergeCell ref="N14:O14"/>
    <mergeCell ref="N15:O15"/>
    <mergeCell ref="M17:N17"/>
    <mergeCell ref="C14:D14"/>
    <mergeCell ref="C5:D5"/>
    <mergeCell ref="H26:I26"/>
    <mergeCell ref="C16:D16"/>
    <mergeCell ref="C17:D17"/>
    <mergeCell ref="O21:P21"/>
    <mergeCell ref="M21:N21"/>
    <mergeCell ref="O19:P19"/>
    <mergeCell ref="O22:P22"/>
    <mergeCell ref="C20:D20"/>
    <mergeCell ref="C6:D6"/>
    <mergeCell ref="C13:D13"/>
    <mergeCell ref="C8:D8"/>
    <mergeCell ref="C9:D9"/>
    <mergeCell ref="O20:P20"/>
    <mergeCell ref="M23:N23"/>
    <mergeCell ref="M24:N24"/>
  </mergeCells>
  <phoneticPr fontId="8" type="noConversion"/>
  <conditionalFormatting sqref="B14:D14 B34:C34">
    <cfRule type="expression" dxfId="53" priority="36" stopIfTrue="1">
      <formula>AND(IF(RIGHT(Nb_diam,1)=",",1),IF(LEFT(Type_masquage,1)="M",1))</formula>
    </cfRule>
  </conditionalFormatting>
  <conditionalFormatting sqref="C11">
    <cfRule type="cellIs" dxfId="52" priority="24" stopIfTrue="1" operator="equal">
      <formula>359</formula>
    </cfRule>
    <cfRule type="expression" dxfId="51" priority="27" stopIfTrue="1">
      <formula>OR(MasseSans&lt;MpropuVide, MasseSans&gt;20*MpropuPlein)</formula>
    </cfRule>
  </conditionalFormatting>
  <conditionalFormatting sqref="C12">
    <cfRule type="cellIs" dxfId="50" priority="23" stopIfTrue="1" operator="equal">
      <formula>639</formula>
    </cfRule>
  </conditionalFormatting>
  <conditionalFormatting sqref="C14 C23:D23 C34">
    <cfRule type="cellIs" dxfId="49" priority="20" stopIfTrue="1" operator="equal">
      <formula>59</formula>
    </cfRule>
  </conditionalFormatting>
  <conditionalFormatting sqref="C17">
    <cfRule type="expression" dxfId="48" priority="150" stopIfTrue="1">
      <formula>C204</formula>
    </cfRule>
  </conditionalFormatting>
  <conditionalFormatting sqref="C27 C29">
    <cfRule type="cellIs" dxfId="47" priority="17" stopIfTrue="1" operator="equal">
      <formula>109</formula>
    </cfRule>
  </conditionalFormatting>
  <conditionalFormatting sqref="C28">
    <cfRule type="cellIs" dxfId="46" priority="18" stopIfTrue="1" operator="equal">
      <formula>59</formula>
    </cfRule>
  </conditionalFormatting>
  <conditionalFormatting sqref="C30">
    <cfRule type="cellIs" dxfId="45" priority="19" stopIfTrue="1" operator="equal">
      <formula>99</formula>
    </cfRule>
  </conditionalFormatting>
  <conditionalFormatting sqref="C13:D13 C18 C33">
    <cfRule type="cellIs" dxfId="44" priority="22" stopIfTrue="1" operator="equal">
      <formula>1001</formula>
    </cfRule>
  </conditionalFormatting>
  <conditionalFormatting sqref="C22:D22">
    <cfRule type="cellIs" dxfId="43" priority="21" stopIfTrue="1" operator="equal">
      <formula>199</formula>
    </cfRule>
  </conditionalFormatting>
  <conditionalFormatting sqref="D17">
    <cfRule type="expression" dxfId="42" priority="10" stopIfTrue="1">
      <formula>D202</formula>
    </cfRule>
  </conditionalFormatting>
  <conditionalFormatting sqref="H28">
    <cfRule type="expression" dxfId="41" priority="46" stopIfTrue="1">
      <formula>OR(Cn&lt;CritCnmin,Cn&gt;CritCnmax)</formula>
    </cfRule>
  </conditionalFormatting>
  <conditionalFormatting sqref="H29">
    <cfRule type="expression" dxfId="40" priority="45" stopIfTrue="1">
      <formula>OR(MS_min&lt;CritMsmin,MS_min&gt;CritMsmax)</formula>
    </cfRule>
  </conditionalFormatting>
  <conditionalFormatting sqref="H30">
    <cfRule type="expression" dxfId="39" priority="43" stopIfTrue="1">
      <formula>OR(MS_Cn_min&lt;CritMsCnmin,MS_Cn_min&gt;CritMsCnmax)</formula>
    </cfRule>
  </conditionalFormatting>
  <conditionalFormatting sqref="H27:I27">
    <cfRule type="expression" dxfId="38" priority="47" stopIfTrue="1">
      <formula>OR(Finesse&lt;CritFinessemin,Finesse&gt;CritFinessemax)</formula>
    </cfRule>
  </conditionalFormatting>
  <conditionalFormatting sqref="H33:I34">
    <cfRule type="expression" dxfId="37" priority="50" stopIfTrue="1">
      <formula>$H$33="STABLE"</formula>
    </cfRule>
  </conditionalFormatting>
  <conditionalFormatting sqref="I28">
    <cfRule type="expression" dxfId="36" priority="5" stopIfTrue="1">
      <formula>OR(Cn0&lt;CritCnmin,Cn0&gt;CritCnmax)</formula>
    </cfRule>
  </conditionalFormatting>
  <conditionalFormatting sqref="I29">
    <cfRule type="expression" dxfId="35" priority="44" stopIfTrue="1">
      <formula>OR(MS_max&lt;CritMsmin,MS_max&gt;CritMsmax)</formula>
    </cfRule>
  </conditionalFormatting>
  <conditionalFormatting sqref="I30">
    <cfRule type="expression" dxfId="34" priority="42" stopIfTrue="1">
      <formula>OR(MS_Cn_max&lt;CritMsCnmin,MS_Cn_max&gt;CritMsCnmax)</formula>
    </cfRule>
  </conditionalFormatting>
  <conditionalFormatting sqref="L38:M38">
    <cfRule type="expression" dxfId="33" priority="232" stopIfTrue="1">
      <formula>OR(SUM($C$27:$C$32)=273, $H$33&lt;&gt;"STABLE")</formula>
    </cfRule>
  </conditionalFormatting>
  <conditionalFormatting sqref="L6:P9">
    <cfRule type="expression" dxfId="32" priority="48" stopIfTrue="1">
      <formula>IF(RIGHT(Nb_diam,1)=",",1)</formula>
    </cfRule>
  </conditionalFormatting>
  <conditionalFormatting sqref="L20:P22 D25:E25 D27:E34 B35:E35">
    <cfRule type="expression" dxfId="31" priority="83" stopIfTrue="1">
      <formula>IF(LEFT(Type_masquage,1)="M",1)</formula>
    </cfRule>
  </conditionalFormatting>
  <conditionalFormatting sqref="L23:P24">
    <cfRule type="expression" dxfId="30" priority="64" stopIfTrue="1">
      <formula>IF(RIGHT(Nb_diam,1)=",",1)</formula>
    </cfRule>
  </conditionalFormatting>
  <conditionalFormatting sqref="M36 O36">
    <cfRule type="expression" dxfId="29" priority="141" stopIfTrue="1">
      <formula>$M$36="propu NOK"</formula>
    </cfRule>
  </conditionalFormatting>
  <conditionalFormatting sqref="M5:P5">
    <cfRule type="expression" dxfId="28" priority="38" stopIfTrue="1">
      <formula>IF(RIGHT(Nb_diam,1)=",",1)</formula>
    </cfRule>
  </conditionalFormatting>
  <conditionalFormatting sqref="N36">
    <cfRule type="expression" dxfId="27" priority="26" stopIfTrue="1">
      <formula>ROUND(SUM(C2:P25)+SUM(C27:P35),0)=8637</formula>
    </cfRule>
  </conditionalFormatting>
  <dataValidations count="13">
    <dataValidation type="whole" allowBlank="1" showInputMessage="1" showErrorMessage="1" error="Tapez un entier entre 3 et 6." sqref="C32:D32" xr:uid="{00000000-0002-0000-0000-000000000000}">
      <formula1>3</formula1>
      <formula2>6</formula2>
    </dataValidation>
    <dataValidation type="decimal" operator="notEqual" allowBlank="1" showInputMessage="1" showErrorMessage="1" error="Tapez uniquement la longueur, sans l'unité." sqref="C29:D29" xr:uid="{00000000-0002-0000-0000-000001000000}">
      <formula1>1E+100</formula1>
    </dataValidation>
    <dataValidation type="decimal" operator="greaterThanOrEqual" allowBlank="1" showInputMessage="1" showErrorMessage="1" error="Tapez uniquement la longueur, sans l'unité." sqref="C27:D28 C33:D34 C30:D31 M6:O9" xr:uid="{00000000-0002-0000-0000-000002000000}">
      <formula1>0</formula1>
    </dataValidation>
    <dataValidation type="list" showInputMessage="1" showErrorMessage="1" sqref="C26:D26" xr:uid="{00000000-0002-0000-0000-000003000000}">
      <formula1>Menu_Empennage</formula1>
    </dataValidation>
    <dataValidation type="list" showInputMessage="1" showErrorMessage="1" sqref="C17:D17" xr:uid="{00000000-0002-0000-0000-000004000000}">
      <formula1>Liste_propu</formula1>
    </dataValidation>
    <dataValidation type="list" showInputMessage="1" showErrorMessage="1" sqref="M2" xr:uid="{00000000-0002-0000-0000-000005000000}">
      <formula1>Menu_Lang</formula1>
    </dataValidation>
    <dataValidation type="decimal" showInputMessage="1" showErrorMessage="1" errorTitle="Masse de la Fusée" error="Tapez uniquement la masse, sans l'unité." sqref="C11" xr:uid="{00000000-0002-0000-0000-000006000000}">
      <formula1>0</formula1>
      <formula2>50000</formula2>
    </dataValidation>
    <dataValidation type="decimal" operator="greaterThan" showInputMessage="1" showErrorMessage="1" error="Tapez uniquement la longueur, sans l'unité." sqref="C12 C13:D13 C22:D23" xr:uid="{00000000-0002-0000-0000-000007000000}">
      <formula1>0</formula1>
    </dataValidation>
    <dataValidation type="list" showInputMessage="1" showErrorMessage="1" sqref="D11:D12" xr:uid="{00000000-0002-0000-0000-000008000000}">
      <formula1>Menu_with_motor</formula1>
    </dataValidation>
    <dataValidation type="list" showInputMessage="1" showErrorMessage="1" sqref="C10:D10" xr:uid="{00000000-0002-0000-0000-000009000000}">
      <formula1>Menu_Type</formula1>
    </dataValidation>
    <dataValidation type="decimal" operator="greaterThan" allowBlank="1" showInputMessage="1" showErrorMessage="1" error="Tapez uniquement la longueur, sans l'unité." sqref="C18" xr:uid="{00000000-0002-0000-0000-00000A000000}">
      <formula1>0</formula1>
    </dataValidation>
    <dataValidation type="list" showInputMessage="1" showErrorMessage="1" sqref="C21:D21" xr:uid="{00000000-0002-0000-0000-00000B000000}">
      <formula1>Menu_Ogive</formula1>
    </dataValidation>
    <dataValidation type="list" showInputMessage="1" showErrorMessage="1" sqref="M4" xr:uid="{00000000-0002-0000-0000-00000C000000}">
      <formula1>Menu_Transitions</formula1>
    </dataValidation>
  </dataValidations>
  <hyperlinks>
    <hyperlink ref="M38" location="Trajecto!C25" display="Trajecto" xr:uid="{00000000-0004-0000-0000-000000000000}"/>
  </hyperlinks>
  <printOptions horizontalCentered="1" verticalCentered="1"/>
  <pageMargins left="7.874015748031496E-2" right="7.874015748031496E-2" top="7.874015748031496E-2" bottom="7.874015748031496E-2" header="0" footer="0"/>
  <pageSetup paperSize="9" orientation="landscape" horizontalDpi="200" verticalDpi="200" r:id="rId1"/>
  <headerFooter alignWithMargins="0"/>
  <ignoredErrors>
    <ignoredError sqref="C34:D34" unlockedFormula="1"/>
    <ignoredError sqref="E18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775" r:id="rId4" name="Spinner 935">
              <controlPr defaultSize="0" print="0" autoPict="0">
                <anchor moveWithCells="1" sizeWithCells="1">
                  <from>
                    <xdr:col>3</xdr:col>
                    <xdr:colOff>752475</xdr:colOff>
                    <xdr:row>21</xdr:row>
                    <xdr:rowOff>9525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1" r:id="rId5" name="Spinner 941">
              <controlPr defaultSize="0" print="0" autoPict="0">
                <anchor moveWithCells="1" sizeWithCells="1">
                  <from>
                    <xdr:col>2</xdr:col>
                    <xdr:colOff>752475</xdr:colOff>
                    <xdr:row>10</xdr:row>
                    <xdr:rowOff>9525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2" r:id="rId6" name="Spinner 942">
              <controlPr defaultSize="0" print="0" autoPict="0">
                <anchor moveWithCells="1" sizeWithCells="1">
                  <from>
                    <xdr:col>2</xdr:col>
                    <xdr:colOff>752475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3" r:id="rId7" name="Spinner 943">
              <controlPr defaultSize="0" print="0" autoPict="0">
                <anchor moveWithCells="1" sizeWithCells="1">
                  <from>
                    <xdr:col>3</xdr:col>
                    <xdr:colOff>752475</xdr:colOff>
                    <xdr:row>22</xdr:row>
                    <xdr:rowOff>9525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9" r:id="rId8" name="Spinner 949">
              <controlPr defaultSize="0" print="0" autoPict="0">
                <anchor moveWithCells="1" sizeWithCells="1">
                  <from>
                    <xdr:col>2</xdr:col>
                    <xdr:colOff>752475</xdr:colOff>
                    <xdr:row>26</xdr:row>
                    <xdr:rowOff>9525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5" r:id="rId9" name="Spinner 955">
              <controlPr defaultSize="0" print="0" autoPict="0">
                <anchor moveWithCells="1" sizeWithCells="1">
                  <from>
                    <xdr:col>2</xdr:col>
                    <xdr:colOff>752475</xdr:colOff>
                    <xdr:row>27</xdr:row>
                    <xdr:rowOff>9525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6" r:id="rId10" name="Spinner 956">
              <controlPr defaultSize="0" print="0" autoPict="0">
                <anchor moveWithCells="1" sizeWithCells="1">
                  <from>
                    <xdr:col>2</xdr:col>
                    <xdr:colOff>752475</xdr:colOff>
                    <xdr:row>28</xdr:row>
                    <xdr:rowOff>9525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7" r:id="rId11" name="Spinner 957">
              <controlPr defaultSize="0" print="0" autoPict="0">
                <anchor moveWithCells="1" sizeWithCells="1">
                  <from>
                    <xdr:col>2</xdr:col>
                    <xdr:colOff>752475</xdr:colOff>
                    <xdr:row>29</xdr:row>
                    <xdr:rowOff>9525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8" r:id="rId12" name="Spinner 958">
              <controlPr defaultSize="0" print="0" autoPict="0">
                <anchor moveWithCells="1" sizeWithCells="1">
                  <from>
                    <xdr:col>2</xdr:col>
                    <xdr:colOff>752475</xdr:colOff>
                    <xdr:row>30</xdr:row>
                    <xdr:rowOff>9525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9" r:id="rId13" name="Spinner 959">
              <controlPr defaultSize="0" print="0" autoPict="0">
                <anchor moveWithCells="1" sizeWithCells="1">
                  <from>
                    <xdr:col>2</xdr:col>
                    <xdr:colOff>752475</xdr:colOff>
                    <xdr:row>31</xdr:row>
                    <xdr:rowOff>9525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1" r:id="rId14" name="Spinner 961">
              <controlPr defaultSize="0" print="0" autoPict="0">
                <anchor moveWithCells="1" sizeWithCells="1">
                  <from>
                    <xdr:col>3</xdr:col>
                    <xdr:colOff>752475</xdr:colOff>
                    <xdr:row>12</xdr:row>
                    <xdr:rowOff>9525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1" r:id="rId15" name="Spinner 3315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2" r:id="rId16" name="Spinner 3316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R199"/>
  <sheetViews>
    <sheetView showGridLines="0" zoomScale="85" zoomScaleNormal="85" workbookViewId="0">
      <selection activeCell="P19" sqref="P19"/>
    </sheetView>
  </sheetViews>
  <sheetFormatPr baseColWidth="10" defaultColWidth="11.42578125" defaultRowHeight="12.75" x14ac:dyDescent="0.2"/>
  <cols>
    <col min="1" max="1" width="2.140625" style="1" customWidth="1"/>
    <col min="2" max="2" width="16.28515625" style="1" customWidth="1"/>
    <col min="3" max="4" width="11.42578125" style="1"/>
    <col min="5" max="5" width="2.7109375" style="1" customWidth="1"/>
    <col min="6" max="7" width="12.85546875" style="1" customWidth="1"/>
    <col min="8" max="13" width="10.7109375" style="1" customWidth="1"/>
    <col min="14" max="15" width="2.140625" style="1" customWidth="1"/>
    <col min="16" max="17" width="14.28515625" style="1" customWidth="1"/>
    <col min="18" max="16384" width="11.42578125" style="1"/>
  </cols>
  <sheetData>
    <row r="1" spans="1:14" x14ac:dyDescent="0.2">
      <c r="A1" s="51"/>
      <c r="B1" s="52"/>
      <c r="C1" s="53"/>
      <c r="D1" s="52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2.75" customHeight="1" x14ac:dyDescent="0.2">
      <c r="A2" s="56"/>
      <c r="B2" s="2"/>
      <c r="C2" s="625" t="s">
        <v>0</v>
      </c>
      <c r="D2" s="625"/>
      <c r="F2" s="3"/>
      <c r="J2" s="4"/>
      <c r="N2" s="57"/>
    </row>
    <row r="3" spans="1:14" ht="12.75" customHeight="1" x14ac:dyDescent="0.2">
      <c r="A3" s="56"/>
      <c r="B3" s="2"/>
      <c r="C3" s="625"/>
      <c r="D3" s="625"/>
      <c r="H3" s="5"/>
      <c r="J3" s="4"/>
      <c r="N3" s="57"/>
    </row>
    <row r="4" spans="1:14" ht="12.75" customHeight="1" x14ac:dyDescent="0.2">
      <c r="A4" s="56"/>
      <c r="B4" s="2"/>
      <c r="C4" s="628" t="str">
        <f>IF(Lang="Français","Trajectographie de fusée",IF(Lang="English","Rocket Trajectography",""))</f>
        <v>Trajectographie de fusée</v>
      </c>
      <c r="D4" s="628"/>
      <c r="H4" s="5"/>
      <c r="J4" s="4"/>
      <c r="N4" s="57"/>
    </row>
    <row r="5" spans="1:14" ht="12.75" customHeight="1" x14ac:dyDescent="0.2">
      <c r="A5" s="56"/>
      <c r="B5" s="2"/>
      <c r="J5" s="4"/>
      <c r="N5" s="57"/>
    </row>
    <row r="6" spans="1:14" ht="12.95" customHeight="1" x14ac:dyDescent="0.2">
      <c r="A6" s="56"/>
      <c r="B6" s="87"/>
      <c r="C6" s="627" t="str">
        <f>IF(Lang="Français","Remplir les cases jaunes",IF(Lang="English","Fill-in yellow cells only",""))</f>
        <v>Remplir les cases jaunes</v>
      </c>
      <c r="D6" s="627"/>
      <c r="J6" s="4"/>
      <c r="N6" s="57"/>
    </row>
    <row r="7" spans="1:14" x14ac:dyDescent="0.2">
      <c r="A7" s="56"/>
      <c r="B7" s="6"/>
      <c r="C7" s="607" t="str">
        <f>IF(Lang="Français","Fusée",IF(Lang="English","Rocket",""))</f>
        <v>Fusée</v>
      </c>
      <c r="D7" s="607"/>
      <c r="N7" s="58"/>
    </row>
    <row r="8" spans="1:14" ht="12.75" customHeight="1" x14ac:dyDescent="0.25">
      <c r="A8" s="56"/>
      <c r="B8" s="140" t="str">
        <f>IF(Lang="Français","Nom",IF(Lang="English","Name",""))</f>
        <v>Nom</v>
      </c>
      <c r="C8" s="626" t="str">
        <f>Nom</f>
        <v>SP02-Beta</v>
      </c>
      <c r="D8" s="626"/>
      <c r="E8" s="5"/>
      <c r="F8" s="5"/>
      <c r="J8" s="4"/>
      <c r="N8" s="57"/>
    </row>
    <row r="9" spans="1:14" ht="12.75" customHeight="1" x14ac:dyDescent="0.25">
      <c r="A9" s="59"/>
      <c r="B9" s="140" t="s">
        <v>4</v>
      </c>
      <c r="C9" s="626" t="str">
        <f>Club</f>
        <v>l'Aeroipsa</v>
      </c>
      <c r="D9" s="626"/>
      <c r="F9" s="5"/>
      <c r="N9" s="58"/>
    </row>
    <row r="10" spans="1:14" ht="12.75" customHeight="1" x14ac:dyDescent="0.2">
      <c r="A10" s="59"/>
      <c r="B10" s="140" t="str">
        <f>IF(Lang="Français","Masse totale",IF(Lang="English","Total Mass",""))</f>
        <v>Masse totale</v>
      </c>
      <c r="C10" s="602">
        <f ca="1">MassePlein</f>
        <v>6.6850000000000005</v>
      </c>
      <c r="D10" s="602"/>
      <c r="F10" s="5"/>
      <c r="N10" s="58"/>
    </row>
    <row r="11" spans="1:14" ht="12.75" customHeight="1" x14ac:dyDescent="0.2">
      <c r="A11" s="59"/>
      <c r="B11" s="227" t="str">
        <f>IF(Lang="Français","Propulseur",IF(Lang="English","Motor",""))</f>
        <v>Propulseur</v>
      </c>
      <c r="C11" s="605" t="str">
        <f>Propu</f>
        <v>Barasinga (Pro54-5G C)</v>
      </c>
      <c r="D11" s="606"/>
      <c r="F11" s="5"/>
      <c r="N11" s="58"/>
    </row>
    <row r="12" spans="1:14" ht="12.75" customHeight="1" x14ac:dyDescent="0.2">
      <c r="A12" s="59"/>
      <c r="F12" s="5"/>
      <c r="N12" s="58"/>
    </row>
    <row r="13" spans="1:14" ht="12.75" customHeight="1" x14ac:dyDescent="0.2">
      <c r="A13" s="59"/>
      <c r="B13"/>
      <c r="C13" s="607" t="str">
        <f>IF(Lang="Français","Traînée Aérdynamique",IF(Lang="English","Drag",""))</f>
        <v>Traînée Aérdynamique</v>
      </c>
      <c r="D13" s="607"/>
      <c r="N13" s="58"/>
    </row>
    <row r="14" spans="1:14" ht="12.75" customHeight="1" x14ac:dyDescent="0.2">
      <c r="A14" s="59"/>
      <c r="B14" s="140" t="s">
        <v>41</v>
      </c>
      <c r="C14" s="608">
        <f>(PI()*D_ref^2/4+E_ail*ep_ail*Q_ail)/10^6</f>
        <v>6.6217694409323952E-3</v>
      </c>
      <c r="D14" s="608"/>
      <c r="N14" s="58"/>
    </row>
    <row r="15" spans="1:14" ht="12.75" customHeight="1" x14ac:dyDescent="0.2">
      <c r="A15" s="59"/>
      <c r="B15" s="141" t="s">
        <v>5</v>
      </c>
      <c r="C15" s="600">
        <v>0.5</v>
      </c>
      <c r="D15" s="601"/>
      <c r="N15" s="58"/>
    </row>
    <row r="16" spans="1:14" ht="12.75" customHeight="1" x14ac:dyDescent="0.2">
      <c r="A16" s="59"/>
      <c r="N16" s="58"/>
    </row>
    <row r="17" spans="1:18" ht="12.75" customHeight="1" x14ac:dyDescent="0.2">
      <c r="A17" s="59"/>
      <c r="B17"/>
      <c r="C17" s="607" t="str">
        <f>IF(Lang="Français","Rampe de Lancement",IF(Lang="English","Launch Pad",""))</f>
        <v>Rampe de Lancement</v>
      </c>
      <c r="D17" s="607"/>
      <c r="N17" s="58"/>
    </row>
    <row r="18" spans="1:18" ht="12.75" customHeight="1" x14ac:dyDescent="0.2">
      <c r="A18" s="59"/>
      <c r="B18" s="140" t="str">
        <f>IF(Lang="Français","Longueur",IF(Lang="English","Length",""))</f>
        <v>Longueur</v>
      </c>
      <c r="C18" s="604">
        <v>0</v>
      </c>
      <c r="D18" s="604"/>
      <c r="N18" s="58"/>
    </row>
    <row r="19" spans="1:18" ht="12.75" customHeight="1" x14ac:dyDescent="0.2">
      <c r="A19" s="59"/>
      <c r="B19" s="140" t="str">
        <f>IF(Lang="Français","Élévation",IF(Lang="English","Angle /horizon",""))</f>
        <v>Élévation</v>
      </c>
      <c r="C19" s="603">
        <v>82.23</v>
      </c>
      <c r="D19" s="603"/>
      <c r="N19" s="58"/>
    </row>
    <row r="20" spans="1:18" ht="12.75" customHeight="1" x14ac:dyDescent="0.2">
      <c r="A20" s="59"/>
      <c r="B20" s="140" t="s">
        <v>6</v>
      </c>
      <c r="C20" s="604">
        <v>0</v>
      </c>
      <c r="D20" s="604"/>
      <c r="N20" s="58"/>
    </row>
    <row r="21" spans="1:18" ht="12.75" customHeight="1" x14ac:dyDescent="0.2">
      <c r="A21" s="59"/>
      <c r="F21" s="384" t="e">
        <f ca="1">IF( OR( AND(Vsortie_de_rampe&lt;18, RIGHT(Type_fusee,1)=";"), AND(Vsortie_de_rampe&lt;20, RIGHT(Type_fusee,1)=".")), IF(Lang="Français","Vitesse en Sortie de Rampe trop faible, alléger la fusée ou choisir un propu plus puissant.","Speed at Launch Pad Exit too low, lighten the rocket or choose a bigger motor."), "")</f>
        <v>#N/A</v>
      </c>
      <c r="N21" s="58"/>
    </row>
    <row r="22" spans="1:18" x14ac:dyDescent="0.2">
      <c r="A22" s="59"/>
      <c r="C22" s="609" t="str">
        <f>IF(Lang="Français","DescenteSousParachute",IF(Lang="English","Over Parachute",""))</f>
        <v>DescenteSousParachute</v>
      </c>
      <c r="D22" s="610"/>
      <c r="F22" s="4"/>
      <c r="G22" s="50">
        <f ca="1">TODAY()</f>
        <v>45781</v>
      </c>
      <c r="H22" s="491" t="str">
        <f>IF(Lang="Français","Temps",IF(Lang="English","Time",""))</f>
        <v>Temps</v>
      </c>
      <c r="I22" s="491" t="s">
        <v>12</v>
      </c>
      <c r="J22" s="491" t="str">
        <f>IF(Lang="Français","Portée x",IF(Lang="English","Range x",""))</f>
        <v>Portée x</v>
      </c>
      <c r="K22" s="491" t="str">
        <f>IF(Lang="Français","Vitesse",IF(Lang="English","Velocity",""))</f>
        <v>Vitesse</v>
      </c>
      <c r="L22" s="492" t="s">
        <v>13</v>
      </c>
      <c r="M22" s="501" t="s">
        <v>421</v>
      </c>
      <c r="N22" s="58"/>
    </row>
    <row r="23" spans="1:18" x14ac:dyDescent="0.2">
      <c r="A23" s="59"/>
      <c r="B23"/>
      <c r="C23" s="142" t="str">
        <f>C7</f>
        <v>Fusée</v>
      </c>
      <c r="D23" s="220" t="s">
        <v>121</v>
      </c>
      <c r="F23" s="611" t="str">
        <f>IF(Lang="Français","Sortie de Rampe",IF(Lang="English","Launch-Pad Exit",""))</f>
        <v>Sortie de Rampe</v>
      </c>
      <c r="G23" s="612"/>
      <c r="H23" s="493"/>
      <c r="I23" s="493"/>
      <c r="J23" s="493"/>
      <c r="K23" s="494" t="e">
        <f ca="1">INDEX(vit_xz,MATCH("Sortie de rampe",Event,0))</f>
        <v>#N/A</v>
      </c>
      <c r="L23" s="495"/>
      <c r="M23" s="502"/>
      <c r="N23" s="58"/>
    </row>
    <row r="24" spans="1:18" x14ac:dyDescent="0.2">
      <c r="A24" s="59"/>
      <c r="B24" s="466" t="str">
        <f>IF(Lang="Français","Masse",IF(Lang="English","Mass",""))</f>
        <v>Masse</v>
      </c>
      <c r="C24" s="467">
        <f ca="1">IF(Nb_sat="0 satellite",MasseVide,MasseVide-m_satellite)</f>
        <v>5.6520000000000001</v>
      </c>
      <c r="D24" s="482">
        <f>IF(RIGHT(Type_fusee,1)=".",1,0.15)</f>
        <v>1</v>
      </c>
      <c r="E24" s="18" t="str">
        <f>IF(ABS(T_satellite-0.11-T_para)&lt;0.1,"Pb!","")</f>
        <v/>
      </c>
      <c r="F24" s="614" t="str">
        <f>IF(Lang="Français","Vit max &amp; Acc max",IF(Lang="English","Max Velocity &amp; Acc",""))</f>
        <v>Vit max &amp; Acc max</v>
      </c>
      <c r="G24" s="594"/>
      <c r="H24" s="115"/>
      <c r="I24" s="115"/>
      <c r="J24" s="115"/>
      <c r="K24" s="158">
        <f ca="1">MAX(vit_xz)</f>
        <v>349.22883218131165</v>
      </c>
      <c r="L24" s="496">
        <f ca="1">MAX(acc_xz)</f>
        <v>119.03405150971797</v>
      </c>
      <c r="M24" s="502"/>
      <c r="N24" s="58"/>
    </row>
    <row r="25" spans="1:18" x14ac:dyDescent="0.2">
      <c r="A25" s="59"/>
      <c r="B25" s="470" t="str">
        <f>IF(Lang="Français","Dépotage",IF(Lang="English","Delay",""))</f>
        <v>Dépotage</v>
      </c>
      <c r="C25" s="507" t="s">
        <v>407</v>
      </c>
      <c r="D25" s="481"/>
      <c r="F25" s="615" t="str">
        <f>IF(Lang="Français","Largage du satellite",IF(Lang="English","Satellite separation",""))</f>
        <v>Largage du satellite</v>
      </c>
      <c r="G25" s="596"/>
      <c r="H25" s="152">
        <f>IF(T_satellite&lt;&gt;0,T_satellite,"")</f>
        <v>3.5</v>
      </c>
      <c r="I25" s="156" t="e">
        <f ca="1">IF(T_satellite&lt;&gt;0,INDEX(pos_z,MATCH("Satellite",Event_sat,0)),"")</f>
        <v>#N/A</v>
      </c>
      <c r="J25" s="154" t="e">
        <f ca="1">IF(T_satellite&lt;&gt;0,INDEX(pos_x,MATCH("Satellite",Event_sat,0)),"")</f>
        <v>#N/A</v>
      </c>
      <c r="K25" s="159" t="e">
        <f ca="1">IF(T_satellite&lt;&gt;0,INDEX(vit_xz,MATCH("Satellite",Event_sat,0)),"")</f>
        <v>#N/A</v>
      </c>
      <c r="L25" s="497"/>
      <c r="M25" s="487" t="e">
        <f ca="1">1/2*Rho_moyen*1*V_ouv_sat^2*S_satellite</f>
        <v>#N/A</v>
      </c>
      <c r="N25" s="58"/>
    </row>
    <row r="26" spans="1:18" x14ac:dyDescent="0.2">
      <c r="A26" s="59"/>
      <c r="B26" s="468" t="str">
        <f>IF(Lang="Français","Ouverture para",IF(Lang="English","Opening time",""))</f>
        <v>Ouverture para</v>
      </c>
      <c r="C26" s="509">
        <v>25.2</v>
      </c>
      <c r="D26" s="469">
        <v>3.5</v>
      </c>
      <c r="F26" s="614" t="s">
        <v>15</v>
      </c>
      <c r="G26" s="594"/>
      <c r="H26" s="153">
        <f ca="1">INDEX(t,MATCH("Apogée",Event,0))</f>
        <v>27.50000000000005</v>
      </c>
      <c r="I26" s="157">
        <f ca="1">INDEX(pos_z,MATCH("Apogée",Event,0))</f>
        <v>3822.8420547601486</v>
      </c>
      <c r="J26" s="155">
        <f ca="1">INDEX(pos_x,MATCH("Apogée",Event,0))</f>
        <v>829.39391674421199</v>
      </c>
      <c r="K26" s="160">
        <f ca="1">INDEX(vit_xz,MATCH("Apogée",Event,0))</f>
        <v>25.323219102659095</v>
      </c>
      <c r="L26" s="498"/>
      <c r="M26" s="502"/>
      <c r="N26" s="58"/>
    </row>
    <row r="27" spans="1:18" x14ac:dyDescent="0.2">
      <c r="A27" s="59"/>
      <c r="B27" s="141" t="s">
        <v>9</v>
      </c>
      <c r="C27" s="225">
        <f>S_para_croix</f>
        <v>0.24</v>
      </c>
      <c r="D27" s="17">
        <f>IF(RIGHT(Type_fusee,1)=".",0.1,0.02)</f>
        <v>0.1</v>
      </c>
      <c r="F27" s="613" t="str">
        <f>IF(Lang="Français","Ouverture parachute fusée",IF(Lang="English","Rocket parachute opening",""))</f>
        <v>Ouverture parachute fusée</v>
      </c>
      <c r="G27" s="599"/>
      <c r="H27" s="152">
        <f>T_para</f>
        <v>25.2</v>
      </c>
      <c r="I27" s="156">
        <f ca="1">INDEX(pos_z,MATCH("Para",Event_para,0))</f>
        <v>3794.6036500802848</v>
      </c>
      <c r="J27" s="488">
        <f ca="1">INDEX(pos_x,MATCH("Para",Event_para,0))</f>
        <v>770.73920220021375</v>
      </c>
      <c r="K27" s="159">
        <f ca="1">INDEX(vit_xz,MATCH("Para",Event_para,0))</f>
        <v>34.98132530098168</v>
      </c>
      <c r="L27" s="497"/>
      <c r="M27" s="487">
        <f ca="1">1/2*Rho_moyen*1*V_ouverture^2*S_para</f>
        <v>179.88288861252587</v>
      </c>
      <c r="N27" s="58"/>
      <c r="P27" s="384" t="str">
        <f ca="1">IF(V_para&lt;5, IF(Lang="Français","Parachute fusée trop grand !","Parachute too big!"), IF( V_para&gt;15, IF(Lang="Français","Parachute fusée trop petit !","Parachute too small!"), ""))</f>
        <v>Parachute fusée trop petit !</v>
      </c>
      <c r="R27" s="384" t="str">
        <f>IF(AND(Nb_sat="1 satellite", OR(V_satellite&lt;5)), IF(Lang="Français","Parachute satéllite trop grand !","Parachute too big"), IF(AND(Nb_sat="1 satellite",OR(V_satellite&gt;15)), IF(Lang="Français","Parachute satéllite trop petit !","Parachute too small!"), ""))</f>
        <v/>
      </c>
    </row>
    <row r="28" spans="1:18" x14ac:dyDescent="0.2">
      <c r="A28" s="59"/>
      <c r="B28" s="141" t="s">
        <v>10</v>
      </c>
      <c r="C28" s="143">
        <v>1</v>
      </c>
      <c r="D28" s="143">
        <v>1</v>
      </c>
      <c r="F28" s="618" t="str">
        <f>IF(Lang="Français","Impact balistique",IF(Lang="English","Balistic Impact",""))</f>
        <v>Impact balistique</v>
      </c>
      <c r="G28" s="619"/>
      <c r="H28" s="499">
        <f ca="1">INDEX(t,MATCH("Impact balistique",Event,0))</f>
        <v>60.900000000000524</v>
      </c>
      <c r="I28" s="519" t="s">
        <v>428</v>
      </c>
      <c r="J28" s="489">
        <f ca="1">INDEX(pos_x,MATCH("Impact balistique",Event,0))</f>
        <v>1416.7607064577739</v>
      </c>
      <c r="K28" s="503">
        <f ca="1">K45</f>
        <v>166.27861040165689</v>
      </c>
      <c r="L28" s="500"/>
      <c r="M28" s="504">
        <f ca="1">0.5*m_vide*K28^2</f>
        <v>78134.876559101554</v>
      </c>
      <c r="N28" s="58"/>
      <c r="P28" s="384" t="str">
        <f ca="1">IF( OR( V_para&lt;5, V_para&gt;15, AND(Nb_sat="1 satellite", OR(V_satellite&lt;5, V_satellite&gt;15))), IF(Lang="Français","La Vitesse de descente sous parachute doit être comprise entre 5 &amp; 15 m/s.","Fall Velocity with parachute must be between 5 &amp; 15 m/s."), "")</f>
        <v>La Vitesse de descente sous parachute doit être comprise entre 5 &amp; 15 m/s.</v>
      </c>
    </row>
    <row r="29" spans="1:18" x14ac:dyDescent="0.2">
      <c r="A29" s="59"/>
      <c r="B29" s="141" t="str">
        <f>IF(Lang="Français","Vitesse du vent",IF(Lang="English","Wind speed",""))</f>
        <v>Vitesse du vent</v>
      </c>
      <c r="C29" s="144">
        <v>5</v>
      </c>
      <c r="D29" s="144">
        <f>V_vent</f>
        <v>5</v>
      </c>
      <c r="E29" s="18" t="str">
        <f>IF(AND(T_satellite=0,m_satellite&lt;&gt;0),"Erreur !","")</f>
        <v/>
      </c>
      <c r="G29" s="485"/>
      <c r="H29" s="486"/>
      <c r="I29" s="490"/>
      <c r="N29" s="58"/>
      <c r="P29" s="384" t="str">
        <f ca="1">IF(AND(Portee_balistique&gt;200,LEFT(Type_propu,4)="Mini"),IF(Lang="Français","Fusée trop lègère !","Rocket too light"),"")</f>
        <v/>
      </c>
    </row>
    <row r="30" spans="1:18" x14ac:dyDescent="0.2">
      <c r="A30" s="59"/>
      <c r="B30" s="133" t="str">
        <f>IF(Lang="Français","Vitesse descente",IF(Lang="English","Fall velocity",""))</f>
        <v>Vitesse descente</v>
      </c>
      <c r="C30" s="424">
        <f ca="1">SQRT(2*m_vide*g/Rho_moyen/S_para/Cx_para)</f>
        <v>19.421238111817651</v>
      </c>
      <c r="D30" s="424">
        <f>SQRT(2*m_satellite*g/Rho_moyen/S_satellite/Cx_satellite)</f>
        <v>12.655562623057198</v>
      </c>
      <c r="F30" s="384"/>
      <c r="K30" s="388"/>
      <c r="N30" s="58"/>
      <c r="P30" s="384" t="e">
        <f ca="1">IF(OR(AND(Vsortie_de_rampe&lt;20,LEFT(Type_fusee,1)="F"),AND(Vsortie_de_rampe&lt;18, OR(LEFT(Type_fusee,1)=",",LEFT(Type_fusee,4)="Mini",LEFT(Type_fusee,1)="R"))),IF(Lang="Français","Fusée trop lourde ou rampe trop courte !","Rocket too heavy or launch pad too small!"),"")</f>
        <v>#N/A</v>
      </c>
    </row>
    <row r="31" spans="1:18" x14ac:dyDescent="0.2">
      <c r="A31" s="59"/>
      <c r="B31" s="133" t="str">
        <f>IF(Lang="Français","Durée descente",IF(Lang="English","Fall duration",""))</f>
        <v>Durée descente</v>
      </c>
      <c r="C31" s="132">
        <f ca="1">Alt_para/V_para</f>
        <v>195.38422979178151</v>
      </c>
      <c r="D31" s="132" t="e">
        <f ca="1">IF(V_satellite&lt;&gt;0,Alt_sat/V_satellite,0)</f>
        <v>#N/A</v>
      </c>
      <c r="H31" s="620" t="str">
        <f>IF(Lang="Français","Pour localiser la fusée","To locate the rocket")</f>
        <v>Pour localiser la fusée</v>
      </c>
      <c r="I31" s="620"/>
      <c r="J31" s="484"/>
      <c r="N31" s="395"/>
      <c r="P31" s="384" t="str">
        <f ca="1">IF(Temps_culmi-T_para&gt;2,IF(Lang="Français","Ouverture parachute fusée précoce.","Early rocket parachute opening."),IF(Temps_culmi-T_para&lt;-2,IF(Lang="Français","Ouverture parachute fusée tardive.","Late rocket parachute opening."),""))</f>
        <v>Ouverture parachute fusée précoce.</v>
      </c>
    </row>
    <row r="32" spans="1:18" x14ac:dyDescent="0.2">
      <c r="A32" s="59"/>
      <c r="B32" s="133" t="str">
        <f>IF(Lang="Français","Durée du vol",IF(Lang="English","Fligth duration",""))</f>
        <v>Durée du vol</v>
      </c>
      <c r="C32" s="132">
        <f ca="1">T_para+Dt_para</f>
        <v>220.5842297917815</v>
      </c>
      <c r="D32" s="132" t="e">
        <f ca="1">T_satellite+Dt_satellite</f>
        <v>#N/A</v>
      </c>
      <c r="F32" s="620" t="str">
        <f>IF(Lang="Français","Couleur fuselage/coiffe","Body/Nose color")</f>
        <v>Couleur fuselage/coiffe</v>
      </c>
      <c r="G32" s="620"/>
      <c r="H32" s="616" t="s">
        <v>554</v>
      </c>
      <c r="I32" s="617"/>
      <c r="N32" s="394"/>
      <c r="P32" s="384" t="str">
        <f ca="1">IF(ABS(Temps_culmi-T_para)&gt;2,IF(Lang="Français","Attention, aux efforts sur le parachute lors de l'ouverture !","Becarefull to the opening chute efforts!"),"")</f>
        <v>Attention, aux efforts sur le parachute lors de l'ouverture !</v>
      </c>
    </row>
    <row r="33" spans="1:16" customFormat="1" x14ac:dyDescent="0.2">
      <c r="A33" s="74"/>
      <c r="B33" s="133" t="str">
        <f>IF(Lang="Français","Déport latéral",IF(Lang="English","Lateral shift",""))</f>
        <v>Déport latéral</v>
      </c>
      <c r="C33" s="151">
        <f ca="1">Alt_para*V_vent/V_para</f>
        <v>976.92114895890745</v>
      </c>
      <c r="D33" s="151" t="e">
        <f ca="1">IF(V_satellite&lt;&gt;0,Alt_sat*V_vent_sat/V_satellite,0)</f>
        <v>#N/A</v>
      </c>
      <c r="F33" s="620" t="str">
        <f>IF(Lang="Français","Couleur parachute fusée","Rocket parachute color")</f>
        <v>Couleur parachute fusée</v>
      </c>
      <c r="G33" s="620"/>
      <c r="H33" s="616" t="s">
        <v>553</v>
      </c>
      <c r="I33" s="617"/>
      <c r="N33" s="394" t="str">
        <f>IF(Lang="Français","fichier initial","Initial file")</f>
        <v>fichier initial</v>
      </c>
    </row>
    <row r="34" spans="1:16" x14ac:dyDescent="0.2">
      <c r="A34" s="59"/>
      <c r="F34" s="620" t="str">
        <f>IF(Lang="Français","Couleur parachute satellite","Satellite parachute color")</f>
        <v>Couleur parachute satellite</v>
      </c>
      <c r="G34" s="620"/>
      <c r="H34" s="624" t="s">
        <v>159</v>
      </c>
      <c r="I34" s="624"/>
      <c r="N34" s="393" t="str">
        <f>IF(ROUND(SUM(Propu!5:1228),0)=395253,"propu OK","propu NOK")</f>
        <v>propu OK</v>
      </c>
      <c r="P34"/>
    </row>
    <row r="35" spans="1:16" ht="13.5" thickBot="1" x14ac:dyDescent="0.25">
      <c r="A35" s="60"/>
      <c r="B35" s="181" t="str">
        <f>IF(Lang="Français","Commentaire libre :",IF(Lang="English","Free comment:",""))</f>
        <v>Commentaire libre :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290" t="s">
        <v>544</v>
      </c>
      <c r="P35"/>
    </row>
    <row r="38" spans="1:16" x14ac:dyDescent="0.2">
      <c r="A38" s="621" t="str">
        <f>IF(Lang="Français","Calcul de la surface d'un parachute","Parachute surface calculation")</f>
        <v>Calcul de la surface d'un parachute</v>
      </c>
      <c r="B38" s="622"/>
      <c r="C38" s="622"/>
      <c r="D38" s="623"/>
      <c r="F38" s="621" t="str">
        <f>IF(Lang="Français","Résultats détaillés","Detailled results")</f>
        <v>Résultats détaillés</v>
      </c>
      <c r="G38" s="623"/>
      <c r="H38" s="170" t="str">
        <f>IF(Lang="Français","Temps",IF(Lang="English","Time",""))</f>
        <v>Temps</v>
      </c>
      <c r="I38" s="134" t="s">
        <v>12</v>
      </c>
      <c r="J38" s="134" t="str">
        <f>IF(Lang="Français","Portée x",IF(Lang="English","Range x",""))</f>
        <v>Portée x</v>
      </c>
      <c r="K38" s="134" t="str">
        <f>IF(Lang="Français","Vitesse",IF(Lang="English","Velocity",""))</f>
        <v>Vitesse</v>
      </c>
      <c r="L38" s="135" t="s">
        <v>13</v>
      </c>
      <c r="M38" s="134" t="s">
        <v>42</v>
      </c>
    </row>
    <row r="39" spans="1:16" x14ac:dyDescent="0.2">
      <c r="A39" s="161"/>
      <c r="D39" s="162"/>
      <c r="F39" s="172"/>
      <c r="G39" s="173"/>
      <c r="H39" s="171" t="s">
        <v>154</v>
      </c>
      <c r="I39" s="136" t="s">
        <v>39</v>
      </c>
      <c r="J39" s="136" t="s">
        <v>39</v>
      </c>
      <c r="K39" s="136" t="s">
        <v>155</v>
      </c>
      <c r="L39" s="136" t="s">
        <v>7</v>
      </c>
      <c r="M39" s="136" t="s">
        <v>156</v>
      </c>
    </row>
    <row r="40" spans="1:16" x14ac:dyDescent="0.2">
      <c r="A40" s="161"/>
      <c r="D40" s="162"/>
      <c r="F40" s="593" t="str">
        <f>IF(Lang="Français","Décollage",IF(Lang="English","Lift-Off",""))</f>
        <v>Décollage</v>
      </c>
      <c r="G40" s="593"/>
      <c r="H40" s="150">
        <v>4</v>
      </c>
      <c r="I40" s="150">
        <v>358.22</v>
      </c>
      <c r="J40" s="150">
        <v>43.33</v>
      </c>
      <c r="K40" s="150">
        <v>127.88</v>
      </c>
      <c r="L40" s="148" t="s">
        <v>14</v>
      </c>
      <c r="M40" s="149">
        <f>Beta_rampe</f>
        <v>82.23</v>
      </c>
    </row>
    <row r="41" spans="1:16" x14ac:dyDescent="0.2">
      <c r="A41" s="161"/>
      <c r="D41" s="162"/>
      <c r="F41" s="594" t="str">
        <f>IF(Lang="Français","Sortie de Rampe",IF(Lang="English","Launch-Pad Exit",""))</f>
        <v>Sortie de Rampe</v>
      </c>
      <c r="G41" s="594"/>
      <c r="H41" s="115" t="e">
        <f ca="1">INDEX(t,MATCH("Sortie de rampe",Event,0))</f>
        <v>#N/A</v>
      </c>
      <c r="I41" s="115" t="e">
        <f ca="1">INDEX(pos_z,MATCH("Sortie de rampe",Event,0))</f>
        <v>#N/A</v>
      </c>
      <c r="J41" s="115" t="e">
        <f ca="1">INDEX(pos_x,MATCH("Sortie de rampe",Event,0))</f>
        <v>#N/A</v>
      </c>
      <c r="K41" s="116" t="e">
        <f ca="1">INDEX(vit_xz,MATCH("Sortie de rampe",Event,0))</f>
        <v>#N/A</v>
      </c>
      <c r="L41" s="116" t="e">
        <f ca="1">INDEX(acc_xz,MATCH("Sortie de rampe",Event,0))</f>
        <v>#N/A</v>
      </c>
      <c r="M41" s="116" t="e">
        <f ca="1">INDEX(BetaD,MATCH("Sortie de rampe",Event,0))</f>
        <v>#N/A</v>
      </c>
    </row>
    <row r="42" spans="1:16" x14ac:dyDescent="0.2">
      <c r="A42" s="161"/>
      <c r="B42" s="166" t="str">
        <f>IF(Lang="Français","Longeur du bord","Side length")</f>
        <v>Longeur du bord</v>
      </c>
      <c r="D42" s="162"/>
      <c r="F42" s="594" t="str">
        <f>IF(Lang="Français","Vit max &amp; Acc max",IF(Lang="English","Max Velocity &amp; Acc",""))</f>
        <v>Vit max &amp; Acc max</v>
      </c>
      <c r="G42" s="594"/>
      <c r="H42" s="115" t="s">
        <v>14</v>
      </c>
      <c r="I42" s="115" t="s">
        <v>14</v>
      </c>
      <c r="J42" s="115" t="s">
        <v>14</v>
      </c>
      <c r="K42" s="117">
        <f ca="1">MAX(vit_xz)</f>
        <v>349.22883218131165</v>
      </c>
      <c r="L42" s="118">
        <f ca="1">MAX(acc_xz)</f>
        <v>119.03405150971797</v>
      </c>
      <c r="M42" s="116" t="s">
        <v>14</v>
      </c>
    </row>
    <row r="43" spans="1:16" x14ac:dyDescent="0.2">
      <c r="A43" s="161"/>
      <c r="B43" s="167">
        <v>200</v>
      </c>
      <c r="D43" s="162"/>
      <c r="F43" s="594" t="str">
        <f>IF(Lang="Français","Fin de Propulsion",IF(Lang="English","Motor Burn-Out",""))</f>
        <v>Fin de Propulsion</v>
      </c>
      <c r="G43" s="594"/>
      <c r="H43" s="116">
        <f ca="1">INDEX(t,MATCH("Fin de propulsion",Event,0))</f>
        <v>7.5999999999999233</v>
      </c>
      <c r="I43" s="119">
        <f ca="1">INDEX(pos_z,MATCH("Fin de propulsion",Event,0))</f>
        <v>1334.0671377168794</v>
      </c>
      <c r="J43" s="119">
        <f ca="1">INDEX(pos_x,MATCH("Fin de propulsion",Event,0))</f>
        <v>189.32623731750891</v>
      </c>
      <c r="K43" s="119">
        <f ca="1">INDEX(vit_xz,MATCH("Fin de propulsion",Event,0))</f>
        <v>337.74971240283145</v>
      </c>
      <c r="L43" s="116">
        <f ca="1">INDEX(acc_xz,MATCH("Fin de propulsion",Event,0))</f>
        <v>45.636228499808524</v>
      </c>
      <c r="M43" s="116">
        <f ca="1">INDEX(BetaD,MATCH("Fin de propulsion",Event,0))</f>
        <v>81.071994479033592</v>
      </c>
    </row>
    <row r="44" spans="1:16" x14ac:dyDescent="0.2">
      <c r="A44" s="161"/>
      <c r="B44" s="166" t="str">
        <f>IF(Lang="Français","Largeur du coté","Side width")</f>
        <v>Largeur du coté</v>
      </c>
      <c r="D44" s="162"/>
      <c r="F44" s="594" t="s">
        <v>15</v>
      </c>
      <c r="G44" s="594"/>
      <c r="H44" s="118">
        <f ca="1">INDEX(t,MATCH("Apogée",Event,0))</f>
        <v>27.50000000000005</v>
      </c>
      <c r="I44" s="117">
        <f ca="1">INDEX(pos_z,MATCH("Apogée",Event,0))</f>
        <v>3822.8420547601486</v>
      </c>
      <c r="J44" s="120">
        <f ca="1">INDEX(pos_x,MATCH("Apogée",Event,0))</f>
        <v>829.39391674421199</v>
      </c>
      <c r="K44" s="120">
        <f ca="1">INDEX(vit_xz,MATCH("Apogée",Event,0))</f>
        <v>25.323219102659095</v>
      </c>
      <c r="L44" s="116">
        <f ca="1">INDEX(acc_xz,MATCH("Apogée",Event,0))</f>
        <v>9.8230424373613143</v>
      </c>
      <c r="M44" s="121">
        <f ca="1">INDEX(BetaD,MATCH("Apogée",Event,0))</f>
        <v>2.0907990478872516</v>
      </c>
    </row>
    <row r="45" spans="1:16" x14ac:dyDescent="0.2">
      <c r="A45" s="161"/>
      <c r="B45" s="168">
        <v>250</v>
      </c>
      <c r="D45" s="162"/>
      <c r="F45" s="597" t="str">
        <f>IF(Lang="Français","Impact balistique",IF(Lang="English","Balistic Impact",""))</f>
        <v>Impact balistique</v>
      </c>
      <c r="G45" s="597"/>
      <c r="H45" s="116">
        <f ca="1">INDEX(t,MATCH("Impact balistique",Event,0))</f>
        <v>60.900000000000524</v>
      </c>
      <c r="I45" s="148" t="s">
        <v>16</v>
      </c>
      <c r="J45" s="117">
        <f ca="1">INDEX(pos_x,MATCH("Impact balistique",Event,0))</f>
        <v>1416.7607064577739</v>
      </c>
      <c r="K45" s="119">
        <f ca="1">INDEX(vit_xz,MATCH("Impact balistique",Event,0))</f>
        <v>166.27861040165689</v>
      </c>
      <c r="L45" s="116">
        <f ca="1">INDEX(acc_xz,MATCH("Impact balistique",Event,0))</f>
        <v>0.48055078772196885</v>
      </c>
      <c r="M45" s="116">
        <f ca="1">INDEX(BetaD,MATCH("Impact balistique",Event,0))</f>
        <v>-87.280071306603446</v>
      </c>
    </row>
    <row r="46" spans="1:16" x14ac:dyDescent="0.2">
      <c r="A46" s="161"/>
      <c r="B46" s="169" t="s">
        <v>9</v>
      </c>
      <c r="D46" s="162"/>
      <c r="F46" s="599" t="str">
        <f>IF(Lang="Français","Ouverture parachute fusée",IF(Lang="English","Rocket parachute opening",""))</f>
        <v>Ouverture parachute fusée</v>
      </c>
      <c r="G46" s="599"/>
      <c r="H46" s="122">
        <f>T_para</f>
        <v>25.2</v>
      </c>
      <c r="I46" s="123">
        <f ca="1">INDEX(pos_z,MATCH("Para",Event_para,0))</f>
        <v>3794.6036500802848</v>
      </c>
      <c r="J46" s="123">
        <f ca="1">INDEX(pos_x,MATCH("Para",Event_para,0))</f>
        <v>770.73920220021375</v>
      </c>
      <c r="K46" s="123">
        <f ca="1">INDEX(vit_xz,MATCH("Para",Event_para,0))</f>
        <v>34.98132530098168</v>
      </c>
      <c r="L46" s="122">
        <f ca="1">INDEX(acc_xz,MATCH("Para",Event_para,0))</f>
        <v>10.028028407674913</v>
      </c>
      <c r="M46" s="124">
        <f ca="1">INDEX(BetaD,MATCH("Para",Event_para,0))</f>
        <v>42.663470052576855</v>
      </c>
    </row>
    <row r="47" spans="1:16" x14ac:dyDescent="0.2">
      <c r="A47" s="161"/>
      <c r="B47" s="174">
        <f>(4*B43*B45+B43^2)/10^6</f>
        <v>0.24</v>
      </c>
      <c r="D47" s="162"/>
      <c r="F47" s="598" t="str">
        <f>IF(Lang="Français","Impact fusée sous para.",IF(Lang="English","Impact of rocket with para. ",""))</f>
        <v>Impact fusée sous para.</v>
      </c>
      <c r="G47" s="598"/>
      <c r="H47" s="125">
        <f ca="1">T_para+Dt_para</f>
        <v>220.5842297917815</v>
      </c>
      <c r="I47" s="127" t="s">
        <v>16</v>
      </c>
      <c r="J47" s="126" t="str">
        <f ca="1">CONCATENATE(TEXT(X_para-Dx_para,"0")," | ",TEXT(X_para+Dx_para,"0"))</f>
        <v>-206 | 1748</v>
      </c>
      <c r="K47" s="126">
        <f ca="1">V_para</f>
        <v>19.421238111817651</v>
      </c>
      <c r="L47" s="128">
        <f>g</f>
        <v>9.81</v>
      </c>
      <c r="M47" s="128" t="s">
        <v>14</v>
      </c>
    </row>
    <row r="48" spans="1:16" x14ac:dyDescent="0.2">
      <c r="A48" s="161"/>
      <c r="D48" s="162"/>
      <c r="F48" s="595" t="str">
        <f>IF(Lang="Français","Largage du satellite",IF(Lang="English","Satellite separation",""))</f>
        <v>Largage du satellite</v>
      </c>
      <c r="G48" s="596"/>
      <c r="H48" s="122">
        <f>IF(T_satellite&lt;&gt;0,T_satellite,"")</f>
        <v>3.5</v>
      </c>
      <c r="I48" s="123" t="e">
        <f ca="1">IF(T_satellite&lt;&gt;0,INDEX(pos_z,MATCH("Satellite",Event_sat,0)),"")</f>
        <v>#N/A</v>
      </c>
      <c r="J48" s="129" t="e">
        <f ca="1">IF(T_satellite&lt;&gt;0,INDEX(pos_x,MATCH("Satellite",Event_sat,0)),"")</f>
        <v>#N/A</v>
      </c>
      <c r="K48" s="123" t="e">
        <f ca="1">IF(T_satellite&lt;&gt;0,INDEX(vit_xz,MATCH("Satellite",Event_sat,0)),"")</f>
        <v>#N/A</v>
      </c>
      <c r="L48" s="122" t="e">
        <f ca="1">IF(T_satellite&lt;&gt;0,INDEX(acc_xz,MATCH("Satellite",Event_sat,0)),"")</f>
        <v>#N/A</v>
      </c>
      <c r="M48" s="124" t="e">
        <f ca="1">IF(T_satellite&lt;&gt;0,INDEX(BetaD,MATCH("Satellite",Event_sat,0)),"")</f>
        <v>#N/A</v>
      </c>
    </row>
    <row r="49" spans="1:13" x14ac:dyDescent="0.2">
      <c r="A49" s="161"/>
      <c r="D49" s="162"/>
      <c r="F49" s="591" t="str">
        <f>IF(Lang="Français","Impact du satellite",IF(Lang="English","Satellite impact",""))</f>
        <v>Impact du satellite</v>
      </c>
      <c r="G49" s="592"/>
      <c r="H49" s="125" t="e">
        <f ca="1">IF(T_satellite&lt;&gt;0,T_satellite+Dt_satellite,"")</f>
        <v>#N/A</v>
      </c>
      <c r="I49" s="130" t="str">
        <f>IF(T_satellite&lt;&gt;0,"~0","")</f>
        <v>~0</v>
      </c>
      <c r="J49" s="130" t="e">
        <f ca="1">IF(T_satellite&lt;&gt;0,CONCATENATE(TEXT(X_satellite-Dx_sat,"0")," | ",TEXT(X_satellite+Dx_sat,"0")),"")</f>
        <v>#N/A</v>
      </c>
      <c r="K49" s="130">
        <f>IF(T_satellite&lt;&gt;0,V_satellite,"")</f>
        <v>12.655562623057198</v>
      </c>
      <c r="L49" s="128">
        <f>IF(T_satellite&lt;&gt;0,g,"")</f>
        <v>9.81</v>
      </c>
      <c r="M49" s="131" t="str">
        <f>IF(T_satellite&lt;&gt;0,"-","")</f>
        <v>-</v>
      </c>
    </row>
    <row r="50" spans="1:13" x14ac:dyDescent="0.2">
      <c r="A50" s="161"/>
      <c r="B50" s="166" t="str">
        <f>IF(Lang="Français","Rayon exterieur","Half-diameter ext")</f>
        <v>Rayon exterieur</v>
      </c>
      <c r="D50" s="162"/>
    </row>
    <row r="51" spans="1:13" x14ac:dyDescent="0.2">
      <c r="A51" s="161"/>
      <c r="B51" s="168">
        <v>499</v>
      </c>
      <c r="D51" s="162"/>
    </row>
    <row r="52" spans="1:13" x14ac:dyDescent="0.2">
      <c r="A52" s="161"/>
      <c r="B52" s="166" t="str">
        <f>IF(Lang="Français","Rayon intérieur","Half-diameter int")</f>
        <v>Rayon intérieur</v>
      </c>
      <c r="D52" s="162"/>
    </row>
    <row r="53" spans="1:13" x14ac:dyDescent="0.2">
      <c r="A53" s="161"/>
      <c r="B53" s="168">
        <v>29</v>
      </c>
      <c r="D53" s="162"/>
    </row>
    <row r="54" spans="1:13" x14ac:dyDescent="0.2">
      <c r="A54" s="161"/>
      <c r="B54" s="169" t="s">
        <v>9</v>
      </c>
      <c r="D54" s="162"/>
    </row>
    <row r="55" spans="1:13" x14ac:dyDescent="0.2">
      <c r="A55" s="161"/>
      <c r="B55" s="174">
        <f>PI()*(B51^2-B53^2)/10^6</f>
        <v>0.77961763291484298</v>
      </c>
      <c r="D55" s="162"/>
    </row>
    <row r="56" spans="1:13" x14ac:dyDescent="0.2">
      <c r="A56" s="163"/>
      <c r="B56" s="164"/>
      <c r="C56" s="164"/>
      <c r="D56" s="165"/>
    </row>
    <row r="93" spans="2:2" x14ac:dyDescent="0.2">
      <c r="B93" s="24" t="str">
        <f>IF(Lang="Français","Vitesse de descente sous parachute :",IF(Lang="English","Fall velocity over parachute:",""))</f>
        <v>Vitesse de descente sous parachute :</v>
      </c>
    </row>
    <row r="102" spans="2:7" x14ac:dyDescent="0.2">
      <c r="B102" s="24" t="str">
        <f>IF(Lang="Français","Textes pour les listes déroulantes et graphiques :","Texts for drop-down lists &amp; graphics :")</f>
        <v>Textes pour les listes déroulantes et graphiques :</v>
      </c>
      <c r="F102" s="221" t="s">
        <v>407</v>
      </c>
      <c r="G102" s="1" t="s">
        <v>414</v>
      </c>
    </row>
    <row r="103" spans="2:7" x14ac:dyDescent="0.2">
      <c r="F103" s="478">
        <f ca="1">Combustion+Depotage-9</f>
        <v>-9</v>
      </c>
      <c r="G103" s="479" t="s">
        <v>409</v>
      </c>
    </row>
    <row r="104" spans="2:7" x14ac:dyDescent="0.2">
      <c r="B104" s="1" t="s">
        <v>121</v>
      </c>
      <c r="F104" s="478">
        <f ca="1">Combustion+Depotage-7</f>
        <v>-7</v>
      </c>
      <c r="G104" s="479" t="s">
        <v>410</v>
      </c>
    </row>
    <row r="105" spans="2:7" x14ac:dyDescent="0.2">
      <c r="B105" s="1" t="s">
        <v>122</v>
      </c>
      <c r="F105" s="478">
        <f ca="1">Combustion+Depotage-5</f>
        <v>-5</v>
      </c>
      <c r="G105" s="479" t="s">
        <v>411</v>
      </c>
    </row>
    <row r="106" spans="2:7" x14ac:dyDescent="0.2">
      <c r="B106" s="1" t="str">
        <f>IF(T_para&gt;0,IF(Lang="Français","Phase ascendante","Climbing phase"),"")</f>
        <v>Phase ascendante</v>
      </c>
      <c r="F106" s="478">
        <f ca="1">Combustion+Depotage-3</f>
        <v>-3</v>
      </c>
      <c r="G106" s="479" t="s">
        <v>412</v>
      </c>
    </row>
    <row r="107" spans="2:7" x14ac:dyDescent="0.2">
      <c r="B107" s="1" t="str">
        <f>IF(Lang="Français","Descente balistique","Balistic fall")</f>
        <v>Descente balistique</v>
      </c>
      <c r="F107" s="478">
        <f ca="1">Combustion+Depotage</f>
        <v>0</v>
      </c>
      <c r="G107" s="479" t="s">
        <v>413</v>
      </c>
    </row>
    <row r="108" spans="2:7" x14ac:dyDescent="0.2">
      <c r="B108" s="1" t="str">
        <f>IF(T_para&gt;0,IF(Lang="Français","Fusée sous parachute","Rocket under parachute"),"")</f>
        <v>Fusée sous parachute</v>
      </c>
      <c r="F108" s="480" t="str">
        <f>IF(Lang="Français","autre",IF(Lang="English","other",""))</f>
        <v>autre</v>
      </c>
    </row>
    <row r="109" spans="2:7" x14ac:dyDescent="0.2">
      <c r="B109" s="1" t="str">
        <f>IF(AND(Nb_sat="1 satellite",T_satellite&gt;0),IF(Lang="Français","Satellite sous parachute","Satellite over parachute"),"")</f>
        <v/>
      </c>
    </row>
    <row r="110" spans="2:7" x14ac:dyDescent="0.2">
      <c r="B110" s="1" t="str">
        <f>IF(Lang="Français","Trajectoire (x z)","Trajectory (x z)")</f>
        <v>Trajectoire (x z)</v>
      </c>
    </row>
    <row r="111" spans="2:7" x14ac:dyDescent="0.2">
      <c r="B111" s="1" t="str">
        <f>IF(Lang="Français","Portée x [m]","Range x [m]")</f>
        <v>Portée x [m]</v>
      </c>
    </row>
    <row r="112" spans="2:7" x14ac:dyDescent="0.2">
      <c r="B112" s="1" t="str">
        <f>IF(Lang="Français","Temps [s]","Time [s]")</f>
        <v>Temps [s]</v>
      </c>
    </row>
    <row r="113" spans="2:3" x14ac:dyDescent="0.2">
      <c r="B113" s="1" t="str">
        <f>IF(Lang="Français","Altitude z  /  Temps","Altitude z  /  Time")</f>
        <v>Altitude z  /  Temps</v>
      </c>
      <c r="C113" s="1">
        <f>IF(OR(C25=F102,C25=F108),C26,C25)</f>
        <v>25.2</v>
      </c>
    </row>
    <row r="115" spans="2:3" x14ac:dyDescent="0.2">
      <c r="B115" s="1" t="s">
        <v>408</v>
      </c>
    </row>
    <row r="117" spans="2:3" x14ac:dyDescent="0.2">
      <c r="B117" s="24" t="str">
        <f>IF(Lang="Français","Données pour les graphiques :","Data for plots:")</f>
        <v>Données pour les graphiques :</v>
      </c>
      <c r="C117" s="211" t="s">
        <v>48</v>
      </c>
    </row>
    <row r="118" spans="2:3" x14ac:dyDescent="0.2">
      <c r="C118" s="216">
        <f ca="1">MAX(Altitude_culmi,Portee_balistique)</f>
        <v>3822.8420547601486</v>
      </c>
    </row>
    <row r="119" spans="2:3" x14ac:dyDescent="0.2">
      <c r="B119" s="210" t="s">
        <v>48</v>
      </c>
    </row>
    <row r="120" spans="2:3" x14ac:dyDescent="0.2">
      <c r="B120" s="218">
        <f ca="1">MAX(Altitude_culmi,Portee_balistique)</f>
        <v>3822.8420547601486</v>
      </c>
      <c r="C120" s="211" t="s">
        <v>46</v>
      </c>
    </row>
    <row r="121" spans="2:3" x14ac:dyDescent="0.2">
      <c r="C121" s="214">
        <f ca="1">Alt_para</f>
        <v>3794.6036500802848</v>
      </c>
    </row>
    <row r="122" spans="2:3" x14ac:dyDescent="0.2">
      <c r="B122" s="210" t="s">
        <v>50</v>
      </c>
      <c r="C122" s="214">
        <f ca="1">Alt_para/2</f>
        <v>1897.3018250401424</v>
      </c>
    </row>
    <row r="123" spans="2:3" x14ac:dyDescent="0.2">
      <c r="B123" s="217">
        <f ca="1">X_para</f>
        <v>770.73920220021375</v>
      </c>
      <c r="C123" s="214">
        <v>0</v>
      </c>
    </row>
    <row r="124" spans="2:3" x14ac:dyDescent="0.2">
      <c r="B124" s="217">
        <f ca="1">X_para</f>
        <v>770.73920220021375</v>
      </c>
      <c r="C124" s="214">
        <f ca="1">Alt_para/20</f>
        <v>189.73018250401424</v>
      </c>
    </row>
    <row r="125" spans="2:3" x14ac:dyDescent="0.2">
      <c r="B125" s="217">
        <f ca="1">X_para</f>
        <v>770.73920220021375</v>
      </c>
      <c r="C125" s="214">
        <v>0</v>
      </c>
    </row>
    <row r="126" spans="2:3" x14ac:dyDescent="0.2">
      <c r="B126" s="217">
        <f ca="1">X_para+Alt_para/40</f>
        <v>865.60429345222087</v>
      </c>
      <c r="C126" s="214">
        <f ca="1">Alt_para/20</f>
        <v>189.73018250401424</v>
      </c>
    </row>
    <row r="127" spans="2:3" x14ac:dyDescent="0.2">
      <c r="B127" s="217">
        <f ca="1">X_para</f>
        <v>770.73920220021375</v>
      </c>
      <c r="C127" s="219">
        <v>0</v>
      </c>
    </row>
    <row r="128" spans="2:3" x14ac:dyDescent="0.2">
      <c r="B128" s="217">
        <f ca="1">X_para-Alt_para/40</f>
        <v>675.87411094820663</v>
      </c>
      <c r="C128" s="211" t="s">
        <v>46</v>
      </c>
    </row>
    <row r="129" spans="2:6" x14ac:dyDescent="0.2">
      <c r="B129" s="218">
        <f ca="1">X_para</f>
        <v>770.73920220021375</v>
      </c>
      <c r="C129" s="214">
        <f ca="1">Alt_para</f>
        <v>3794.6036500802848</v>
      </c>
      <c r="E129" s="232">
        <v>1</v>
      </c>
      <c r="F129" s="233" t="s">
        <v>176</v>
      </c>
    </row>
    <row r="130" spans="2:6" x14ac:dyDescent="0.2">
      <c r="B130" s="210" t="s">
        <v>49</v>
      </c>
      <c r="C130" s="214">
        <f ca="1">(C129+C131)/2</f>
        <v>1897.3018250401424</v>
      </c>
      <c r="E130" s="161">
        <v>1</v>
      </c>
      <c r="F130" s="234" t="s">
        <v>177</v>
      </c>
    </row>
    <row r="131" spans="2:6" x14ac:dyDescent="0.2">
      <c r="B131" s="213">
        <f>T_para</f>
        <v>25.2</v>
      </c>
      <c r="C131" s="214">
        <f>0</f>
        <v>0</v>
      </c>
      <c r="E131" s="161"/>
      <c r="F131" s="241" t="s">
        <v>178</v>
      </c>
    </row>
    <row r="132" spans="2:6" x14ac:dyDescent="0.2">
      <c r="B132" s="213">
        <f ca="1">(B131+B133)/2</f>
        <v>122.89211489589074</v>
      </c>
      <c r="C132" s="214">
        <f ca="1">Alt_para-V_para*(H47-T_para)+E129*sS*Altitude_culmi/H47*zZ_fus+E130*sS/2*Altitude_culmi/H47*tT_fus</f>
        <v>152.28568768890716</v>
      </c>
      <c r="E132" s="235" t="s">
        <v>173</v>
      </c>
      <c r="F132" s="236">
        <f ca="1">T_balistique/10</f>
        <v>6.0900000000000523</v>
      </c>
    </row>
    <row r="133" spans="2:6" x14ac:dyDescent="0.2">
      <c r="B133" s="213">
        <f ca="1">H47</f>
        <v>220.5842297917815</v>
      </c>
      <c r="C133" s="214">
        <f ca="1">Alt_para-V_para*(H47-T_para)</f>
        <v>0</v>
      </c>
      <c r="E133" s="235" t="s">
        <v>174</v>
      </c>
      <c r="F133" s="236">
        <f ca="1">(H47-T_para)/H47</f>
        <v>0.88575792556073796</v>
      </c>
    </row>
    <row r="134" spans="2:6" x14ac:dyDescent="0.2">
      <c r="B134" s="213">
        <f ca="1">H47+E129*sS/2*zZ_fus-E130*sS*tT_fus</f>
        <v>218.23496402511657</v>
      </c>
      <c r="C134" s="214">
        <f ca="1">Alt_para-V_para*(H47-T_para)+E129*sS*Altitude_culmi/H47*zZ_fus-E130*sS/2*Altitude_culmi/H47*tT_fus</f>
        <v>58.800192162662434</v>
      </c>
      <c r="E134" s="237" t="s">
        <v>175</v>
      </c>
      <c r="F134" s="238">
        <f ca="1">V_para*(H47-T_para)/Alt_para</f>
        <v>1</v>
      </c>
    </row>
    <row r="135" spans="2:6" x14ac:dyDescent="0.2">
      <c r="B135" s="213">
        <f ca="1">H47</f>
        <v>220.5842297917815</v>
      </c>
      <c r="C135" s="216">
        <f ca="1">Alt_para-V_para*(H47-T_para)</f>
        <v>0</v>
      </c>
    </row>
    <row r="136" spans="2:6" x14ac:dyDescent="0.2">
      <c r="B136" s="213">
        <f ca="1">H47-E129*sS/2*zZ_fus-E130*sS*tT_fus</f>
        <v>212.14496402511654</v>
      </c>
    </row>
    <row r="137" spans="2:6" x14ac:dyDescent="0.2">
      <c r="B137" s="215">
        <f ca="1">H47</f>
        <v>220.5842297917815</v>
      </c>
      <c r="C137" s="211" t="s">
        <v>47</v>
      </c>
    </row>
    <row r="138" spans="2:6" x14ac:dyDescent="0.2">
      <c r="C138" s="214" t="b">
        <f>IF(Nb_sat="1 satellite",Alt_sat)</f>
        <v>0</v>
      </c>
    </row>
    <row r="139" spans="2:6" x14ac:dyDescent="0.2">
      <c r="B139" s="210" t="s">
        <v>52</v>
      </c>
      <c r="C139" s="214" t="b">
        <f>IF(Nb_sat="1 satellite",Alt_sat*1/4)</f>
        <v>0</v>
      </c>
    </row>
    <row r="140" spans="2:6" x14ac:dyDescent="0.2">
      <c r="B140" s="217" t="b">
        <f>IF(Nb_sat="1 satellite",X_satellite)</f>
        <v>0</v>
      </c>
      <c r="C140" s="214" t="b">
        <f>IF(Nb_sat="1 satellite",0)</f>
        <v>0</v>
      </c>
    </row>
    <row r="141" spans="2:6" x14ac:dyDescent="0.2">
      <c r="B141" s="217" t="b">
        <f>IF(Nb_sat="1 satellite",X_satellite)</f>
        <v>0</v>
      </c>
      <c r="C141" s="214" t="b">
        <f>IF(Nb_sat="1 satellite",Alt_sat/20)</f>
        <v>0</v>
      </c>
    </row>
    <row r="142" spans="2:6" x14ac:dyDescent="0.2">
      <c r="B142" s="217" t="b">
        <f>IF(Nb_sat="1 satellite",X_satellite)</f>
        <v>0</v>
      </c>
      <c r="C142" s="214" t="b">
        <f>IF(Nb_sat="1 satellite",0)</f>
        <v>0</v>
      </c>
    </row>
    <row r="143" spans="2:6" x14ac:dyDescent="0.2">
      <c r="B143" s="217" t="b">
        <f>IF(Nb_sat="1 satellite",X_satellite+Alt_sat/40)</f>
        <v>0</v>
      </c>
      <c r="C143" s="214" t="b">
        <f>IF(Nb_sat="1 satellite",Alt_sat/20)</f>
        <v>0</v>
      </c>
    </row>
    <row r="144" spans="2:6" x14ac:dyDescent="0.2">
      <c r="B144" s="217" t="b">
        <f>IF(Nb_sat="1 satellite",X_satellite)</f>
        <v>0</v>
      </c>
      <c r="C144" s="214" t="b">
        <f>IF(Nb_sat="1 satellite",0)</f>
        <v>0</v>
      </c>
    </row>
    <row r="145" spans="2:6" x14ac:dyDescent="0.2">
      <c r="B145" s="217" t="b">
        <f>IF(Nb_sat="1 satellite",X_satellite-Alt_sat/40)</f>
        <v>0</v>
      </c>
      <c r="C145" s="211" t="s">
        <v>47</v>
      </c>
    </row>
    <row r="146" spans="2:6" x14ac:dyDescent="0.2">
      <c r="B146" s="218" t="b">
        <f>IF(Nb_sat="1 satellite",X_satellite)</f>
        <v>0</v>
      </c>
      <c r="C146" s="214" t="b">
        <f>IF(Nb_sat="1 satellite",Alt_sat)</f>
        <v>0</v>
      </c>
      <c r="D146" s="221"/>
    </row>
    <row r="147" spans="2:6" x14ac:dyDescent="0.2">
      <c r="B147" s="210" t="s">
        <v>51</v>
      </c>
      <c r="C147" s="214">
        <f>(C146+C148)/2</f>
        <v>0</v>
      </c>
      <c r="D147" s="221"/>
    </row>
    <row r="148" spans="2:6" x14ac:dyDescent="0.2">
      <c r="B148" s="213" t="b">
        <f>IF(Nb_sat="1 satellite",T_satellite)</f>
        <v>0</v>
      </c>
      <c r="C148" s="214" t="b">
        <f>IF(Nb_sat="1 satellite",0)</f>
        <v>0</v>
      </c>
    </row>
    <row r="149" spans="2:6" x14ac:dyDescent="0.2">
      <c r="B149" s="213">
        <f>(B148+B150)/2</f>
        <v>0</v>
      </c>
      <c r="C149" s="214" t="b">
        <f>IF(Nb_sat="1 satellite",Alt_sat-V_satellite*(H49-T_satellite)+E129*sS*Altitude_culmi/H49*zZ_sat+E130*sS/2*Altitude_culmi/H49*tT_sat)</f>
        <v>0</v>
      </c>
      <c r="D149" s="221"/>
    </row>
    <row r="150" spans="2:6" x14ac:dyDescent="0.2">
      <c r="B150" s="213" t="b">
        <f>IF(Nb_sat="1 satellite",H49)</f>
        <v>0</v>
      </c>
      <c r="C150" s="214" t="b">
        <f>IF(Nb_sat="1 satellite",0)</f>
        <v>0</v>
      </c>
      <c r="E150" s="239" t="s">
        <v>174</v>
      </c>
      <c r="F150" s="240">
        <f ca="1">(T_balistique-T_satellite)/T_balistique</f>
        <v>0.94252873563218442</v>
      </c>
    </row>
    <row r="151" spans="2:6" x14ac:dyDescent="0.2">
      <c r="B151" s="213" t="b">
        <f>IF(Nb_sat="1 satellite",H49+E129*sS/2*zZ_sat-E130*sS*tT_sat)</f>
        <v>0</v>
      </c>
      <c r="C151" s="214" t="b">
        <f>IF(Nb_sat="1 satellite",Alt_sat-V_satellite*(H49-T_satellite)+E129*sS*Altitude_culmi/H49*zZ_sat-E130*sS/2*Altitude_culmi/H49*tT_sat)</f>
        <v>0</v>
      </c>
      <c r="E151" s="237" t="s">
        <v>175</v>
      </c>
      <c r="F151" s="238" t="e">
        <f ca="1">V_satellite*(T_balistique-T_satellite)/Alt_sat</f>
        <v>#N/A</v>
      </c>
    </row>
    <row r="152" spans="2:6" x14ac:dyDescent="0.2">
      <c r="B152" s="213" t="b">
        <f>IF(Nb_sat="1 satellite",H49)</f>
        <v>0</v>
      </c>
      <c r="C152" s="216" t="b">
        <f>IF(Nb_sat="1 satellite",0)</f>
        <v>0</v>
      </c>
    </row>
    <row r="153" spans="2:6" x14ac:dyDescent="0.2">
      <c r="B153" s="213" t="b">
        <f>IF(Nb_sat="1 satellite",H49-sS/2*zZ_sat-E130*sS*tT_sat)</f>
        <v>0</v>
      </c>
    </row>
    <row r="154" spans="2:6" x14ac:dyDescent="0.2">
      <c r="B154" s="215" t="b">
        <f>IF(Nb_sat="1 satellite",H49)</f>
        <v>0</v>
      </c>
      <c r="C154" s="228" t="s">
        <v>29</v>
      </c>
      <c r="D154" s="211" t="s">
        <v>3</v>
      </c>
    </row>
    <row r="155" spans="2:6" x14ac:dyDescent="0.2">
      <c r="C155" s="82">
        <f ca="1">Alt_para/2</f>
        <v>1897.3018250401424</v>
      </c>
      <c r="D155" s="214">
        <f ca="1">X_para/4</f>
        <v>192.68480055005344</v>
      </c>
    </row>
    <row r="156" spans="2:6" x14ac:dyDescent="0.2">
      <c r="B156" s="210" t="s">
        <v>2</v>
      </c>
      <c r="C156" s="230">
        <f ca="1">Altitude_culmi/2</f>
        <v>1911.4210273800743</v>
      </c>
      <c r="D156" s="216">
        <f ca="1">X_culmi+(Portee_balistique-X_culmi)*2/3</f>
        <v>1220.9717765532532</v>
      </c>
    </row>
    <row r="157" spans="2:6" x14ac:dyDescent="0.2">
      <c r="B157" s="231">
        <f>T_para/4</f>
        <v>6.3</v>
      </c>
    </row>
    <row r="158" spans="2:6" x14ac:dyDescent="0.2">
      <c r="B158" s="229">
        <f ca="1">Temps_culmi + (T_balistique-Temps_culmi)/2</f>
        <v>44.200000000000287</v>
      </c>
      <c r="C158" s="228" t="s">
        <v>302</v>
      </c>
      <c r="D158" s="422" t="s">
        <v>304</v>
      </c>
      <c r="E158" s="422"/>
      <c r="F158" s="423" t="s">
        <v>304</v>
      </c>
    </row>
    <row r="159" spans="2:6" x14ac:dyDescent="0.2">
      <c r="C159" s="5">
        <v>0</v>
      </c>
      <c r="D159" s="82">
        <f t="shared" ref="D159:D174" ca="1" si="0">X_culmi+C159</f>
        <v>829.39391674421199</v>
      </c>
      <c r="E159" s="82"/>
      <c r="F159" s="214">
        <f t="shared" ref="F159:F174" ca="1" si="1">X_culmi-C159</f>
        <v>829.39391674421199</v>
      </c>
    </row>
    <row r="160" spans="2:6" x14ac:dyDescent="0.2">
      <c r="B160" s="210" t="s">
        <v>303</v>
      </c>
      <c r="C160" s="5">
        <v>23</v>
      </c>
      <c r="D160" s="82">
        <f t="shared" ca="1" si="0"/>
        <v>852.39391674421199</v>
      </c>
      <c r="E160" s="82"/>
      <c r="F160" s="214">
        <f t="shared" ca="1" si="1"/>
        <v>806.39391674421199</v>
      </c>
    </row>
    <row r="161" spans="2:6" x14ac:dyDescent="0.2">
      <c r="B161" s="231" t="e">
        <f ca="1">IF(AND(Altitude_culmi&gt;80, Altitude_culmi&lt;=350), 49, NA())</f>
        <v>#N/A</v>
      </c>
      <c r="C161" s="5">
        <v>23</v>
      </c>
      <c r="D161" s="82">
        <f t="shared" ca="1" si="0"/>
        <v>852.39391674421199</v>
      </c>
      <c r="E161" s="82"/>
      <c r="F161" s="214">
        <f t="shared" ca="1" si="1"/>
        <v>806.39391674421199</v>
      </c>
    </row>
    <row r="162" spans="2:6" x14ac:dyDescent="0.2">
      <c r="B162" s="231" t="e">
        <f ca="1">IF(AND(Altitude_culmi&gt;80, Altitude_culmi&lt;=350), 49, NA())</f>
        <v>#N/A</v>
      </c>
      <c r="C162" s="5">
        <v>0</v>
      </c>
      <c r="D162" s="82">
        <f t="shared" ca="1" si="0"/>
        <v>829.39391674421199</v>
      </c>
      <c r="E162" s="82"/>
      <c r="F162" s="214">
        <f t="shared" ca="1" si="1"/>
        <v>829.39391674421199</v>
      </c>
    </row>
    <row r="163" spans="2:6" x14ac:dyDescent="0.2">
      <c r="B163" s="231" t="e">
        <f ca="1">IF(AND(Altitude_culmi&gt;80, Altitude_culmi&lt;=350), 43, NA())</f>
        <v>#N/A</v>
      </c>
      <c r="C163" s="5">
        <v>23</v>
      </c>
      <c r="D163" s="82">
        <f t="shared" ca="1" si="0"/>
        <v>852.39391674421199</v>
      </c>
      <c r="E163" s="82"/>
      <c r="F163" s="214">
        <f t="shared" ca="1" si="1"/>
        <v>806.39391674421199</v>
      </c>
    </row>
    <row r="164" spans="2:6" x14ac:dyDescent="0.2">
      <c r="B164" s="231" t="e">
        <f ca="1">IF(AND(Altitude_culmi&gt;80, Altitude_culmi&lt;=350), 43, NA())</f>
        <v>#N/A</v>
      </c>
      <c r="C164" s="5">
        <v>23</v>
      </c>
      <c r="D164" s="82">
        <f t="shared" ca="1" si="0"/>
        <v>852.39391674421199</v>
      </c>
      <c r="E164" s="82"/>
      <c r="F164" s="214">
        <f t="shared" ca="1" si="1"/>
        <v>806.39391674421199</v>
      </c>
    </row>
    <row r="165" spans="2:6" x14ac:dyDescent="0.2">
      <c r="B165" s="231" t="e">
        <f ca="1">IF(AND(Altitude_culmi&gt;80, Altitude_culmi&lt;=350), 43, NA())</f>
        <v>#N/A</v>
      </c>
      <c r="C165" s="5">
        <v>8</v>
      </c>
      <c r="D165" s="82">
        <f t="shared" ca="1" si="0"/>
        <v>837.39391674421199</v>
      </c>
      <c r="E165" s="82"/>
      <c r="F165" s="214">
        <f t="shared" ca="1" si="1"/>
        <v>821.39391674421199</v>
      </c>
    </row>
    <row r="166" spans="2:6" x14ac:dyDescent="0.2">
      <c r="B166" s="231" t="e">
        <f ca="1">IF(AND(Altitude_culmi&gt;80, Altitude_culmi&lt;=350), 0.5, NA())</f>
        <v>#N/A</v>
      </c>
      <c r="C166" s="5">
        <v>8</v>
      </c>
      <c r="D166" s="82">
        <f t="shared" ca="1" si="0"/>
        <v>837.39391674421199</v>
      </c>
      <c r="E166" s="82"/>
      <c r="F166" s="214">
        <f t="shared" ca="1" si="1"/>
        <v>821.39391674421199</v>
      </c>
    </row>
    <row r="167" spans="2:6" x14ac:dyDescent="0.2">
      <c r="B167" s="231" t="e">
        <f ca="1">IF(AND(Altitude_culmi&gt;80, Altitude_culmi&lt;=350), 0.5, NA())</f>
        <v>#N/A</v>
      </c>
      <c r="C167" s="5">
        <v>23</v>
      </c>
      <c r="D167" s="82">
        <f t="shared" ca="1" si="0"/>
        <v>852.39391674421199</v>
      </c>
      <c r="E167" s="82"/>
      <c r="F167" s="214">
        <f t="shared" ca="1" si="1"/>
        <v>806.39391674421199</v>
      </c>
    </row>
    <row r="168" spans="2:6" x14ac:dyDescent="0.2">
      <c r="B168" s="231" t="e">
        <f ca="1">IF(AND(Altitude_culmi&gt;80, Altitude_culmi&lt;=350), 27, NA())</f>
        <v>#N/A</v>
      </c>
      <c r="C168" s="5">
        <v>8</v>
      </c>
      <c r="D168" s="82">
        <f t="shared" ca="1" si="0"/>
        <v>837.39391674421199</v>
      </c>
      <c r="E168" s="82"/>
      <c r="F168" s="214">
        <f t="shared" ca="1" si="1"/>
        <v>821.39391674421199</v>
      </c>
    </row>
    <row r="169" spans="2:6" x14ac:dyDescent="0.2">
      <c r="B169" s="231" t="e">
        <f ca="1">IF(AND(Altitude_culmi&gt;80, Altitude_culmi&lt;=350), 27, NA())</f>
        <v>#N/A</v>
      </c>
      <c r="C169" s="5">
        <v>7.6</v>
      </c>
      <c r="D169" s="82">
        <f t="shared" ca="1" si="0"/>
        <v>836.99391674421202</v>
      </c>
      <c r="E169" s="82"/>
      <c r="F169" s="214">
        <f t="shared" ca="1" si="1"/>
        <v>821.79391674421197</v>
      </c>
    </row>
    <row r="170" spans="2:6" x14ac:dyDescent="0.2">
      <c r="B170" s="231" t="e">
        <f ca="1">IF(AND(Altitude_culmi&gt;80, Altitude_culmi&lt;=350), 27, NA())</f>
        <v>#N/A</v>
      </c>
      <c r="C170" s="5">
        <v>6.8</v>
      </c>
      <c r="D170" s="82">
        <f t="shared" ca="1" si="0"/>
        <v>836.19391674421195</v>
      </c>
      <c r="E170" s="82"/>
      <c r="F170" s="214">
        <f t="shared" ca="1" si="1"/>
        <v>822.59391674421204</v>
      </c>
    </row>
    <row r="171" spans="2:6" x14ac:dyDescent="0.2">
      <c r="B171" s="231" t="e">
        <f ca="1">IF(AND(Altitude_culmi&gt;80, Altitude_culmi&lt;=350), 29, NA())</f>
        <v>#N/A</v>
      </c>
      <c r="C171" s="5">
        <v>6</v>
      </c>
      <c r="D171" s="82">
        <f t="shared" ca="1" si="0"/>
        <v>835.39391674421199</v>
      </c>
      <c r="E171" s="82"/>
      <c r="F171" s="214">
        <f t="shared" ca="1" si="1"/>
        <v>823.39391674421199</v>
      </c>
    </row>
    <row r="172" spans="2:6" x14ac:dyDescent="0.2">
      <c r="B172" s="231" t="e">
        <f ca="1">IF(AND(Altitude_culmi&gt;80, Altitude_culmi&lt;=350), 31, NA())</f>
        <v>#N/A</v>
      </c>
      <c r="C172" s="5">
        <v>5</v>
      </c>
      <c r="D172" s="82">
        <f t="shared" ca="1" si="0"/>
        <v>834.39391674421199</v>
      </c>
      <c r="E172" s="82"/>
      <c r="F172" s="214">
        <f t="shared" ca="1" si="1"/>
        <v>824.39391674421199</v>
      </c>
    </row>
    <row r="173" spans="2:6" x14ac:dyDescent="0.2">
      <c r="B173" s="231" t="e">
        <f ca="1">IF(AND(Altitude_culmi&gt;80, Altitude_culmi&lt;=350), 32, NA())</f>
        <v>#N/A</v>
      </c>
      <c r="C173" s="5">
        <v>3.8</v>
      </c>
      <c r="D173" s="82">
        <f t="shared" ca="1" si="0"/>
        <v>833.19391674421195</v>
      </c>
      <c r="E173" s="82"/>
      <c r="F173" s="214">
        <f t="shared" ca="1" si="1"/>
        <v>825.59391674421204</v>
      </c>
    </row>
    <row r="174" spans="2:6" x14ac:dyDescent="0.2">
      <c r="B174" s="231" t="e">
        <f ca="1">IF(AND(Altitude_culmi&gt;80, Altitude_culmi&lt;=350), 33, NA())</f>
        <v>#N/A</v>
      </c>
      <c r="C174" s="421">
        <v>0</v>
      </c>
      <c r="D174" s="230">
        <f t="shared" ca="1" si="0"/>
        <v>829.39391674421199</v>
      </c>
      <c r="E174" s="230"/>
      <c r="F174" s="216">
        <f t="shared" ca="1" si="1"/>
        <v>829.39391674421199</v>
      </c>
    </row>
    <row r="175" spans="2:6" x14ac:dyDescent="0.2">
      <c r="B175" s="231" t="e">
        <f ca="1">IF(AND(Altitude_culmi&gt;80, Altitude_culmi&lt;=350), 34, NA())</f>
        <v>#N/A</v>
      </c>
    </row>
    <row r="176" spans="2:6" x14ac:dyDescent="0.2">
      <c r="B176" s="229" t="e">
        <f ca="1">IF(AND(Altitude_culmi&gt;80, Altitude_culmi&lt;=350), 35, NA())</f>
        <v>#N/A</v>
      </c>
      <c r="C176" s="228" t="s">
        <v>306</v>
      </c>
      <c r="D176" s="228" t="s">
        <v>307</v>
      </c>
      <c r="E176" s="228"/>
      <c r="F176" s="211" t="s">
        <v>307</v>
      </c>
    </row>
    <row r="177" spans="2:6" x14ac:dyDescent="0.2">
      <c r="C177" s="5">
        <v>0</v>
      </c>
      <c r="D177" s="82">
        <f t="shared" ref="D177:D197" ca="1" si="2">X_culmi+C177</f>
        <v>829.39391674421199</v>
      </c>
      <c r="E177" s="82"/>
      <c r="F177" s="214">
        <f t="shared" ref="F177:F197" ca="1" si="3">X_culmi-C177</f>
        <v>829.39391674421199</v>
      </c>
    </row>
    <row r="178" spans="2:6" x14ac:dyDescent="0.2">
      <c r="B178" s="210" t="s">
        <v>305</v>
      </c>
      <c r="C178" s="5">
        <v>0</v>
      </c>
      <c r="D178" s="82">
        <f t="shared" ca="1" si="2"/>
        <v>829.39391674421199</v>
      </c>
      <c r="E178" s="82"/>
      <c r="F178" s="214">
        <f t="shared" ca="1" si="3"/>
        <v>829.39391674421199</v>
      </c>
    </row>
    <row r="179" spans="2:6" x14ac:dyDescent="0.2">
      <c r="B179" s="231">
        <f ca="1">IF(Altitude_culmi&gt;350, 324, NA())</f>
        <v>324</v>
      </c>
      <c r="C179" s="5">
        <v>10</v>
      </c>
      <c r="D179" s="82">
        <f t="shared" ca="1" si="2"/>
        <v>839.39391674421199</v>
      </c>
      <c r="E179" s="82"/>
      <c r="F179" s="214">
        <f t="shared" ca="1" si="3"/>
        <v>819.39391674421199</v>
      </c>
    </row>
    <row r="180" spans="2:6" x14ac:dyDescent="0.2">
      <c r="B180" s="231">
        <f ca="1">IF(Altitude_culmi&gt;350, 300, NA())</f>
        <v>300</v>
      </c>
      <c r="C180" s="5">
        <v>0</v>
      </c>
      <c r="D180" s="82">
        <f t="shared" ca="1" si="2"/>
        <v>829.39391674421199</v>
      </c>
      <c r="E180" s="82"/>
      <c r="F180" s="214">
        <f t="shared" ca="1" si="3"/>
        <v>829.39391674421199</v>
      </c>
    </row>
    <row r="181" spans="2:6" x14ac:dyDescent="0.2">
      <c r="B181" s="231">
        <f ca="1">IF(Altitude_culmi&gt;350, 280, NA())</f>
        <v>280</v>
      </c>
      <c r="C181" s="5">
        <v>10</v>
      </c>
      <c r="D181" s="82">
        <f t="shared" ca="1" si="2"/>
        <v>839.39391674421199</v>
      </c>
      <c r="E181" s="82"/>
      <c r="F181" s="214">
        <f t="shared" ca="1" si="3"/>
        <v>819.39391674421199</v>
      </c>
    </row>
    <row r="182" spans="2:6" x14ac:dyDescent="0.2">
      <c r="B182" s="231">
        <f ca="1">IF(Altitude_culmi&gt;350, 280, NA())</f>
        <v>280</v>
      </c>
      <c r="C182" s="5">
        <v>13</v>
      </c>
      <c r="D182" s="82">
        <f t="shared" ca="1" si="2"/>
        <v>842.39391674421199</v>
      </c>
      <c r="E182" s="82"/>
      <c r="F182" s="214">
        <f t="shared" ca="1" si="3"/>
        <v>816.39391674421199</v>
      </c>
    </row>
    <row r="183" spans="2:6" x14ac:dyDescent="0.2">
      <c r="B183" s="231">
        <f ca="1">IF(Altitude_culmi&gt;350, 280, NA())</f>
        <v>280</v>
      </c>
      <c r="C183" s="5">
        <v>17</v>
      </c>
      <c r="D183" s="82">
        <f t="shared" ca="1" si="2"/>
        <v>846.39391674421199</v>
      </c>
      <c r="E183" s="82"/>
      <c r="F183" s="214">
        <f t="shared" ca="1" si="3"/>
        <v>812.39391674421199</v>
      </c>
    </row>
    <row r="184" spans="2:6" x14ac:dyDescent="0.2">
      <c r="B184" s="231">
        <f ca="1">IF(Altitude_culmi&gt;350, 200, NA())</f>
        <v>200</v>
      </c>
      <c r="C184" s="5">
        <v>20</v>
      </c>
      <c r="D184" s="82">
        <f t="shared" ca="1" si="2"/>
        <v>849.39391674421199</v>
      </c>
      <c r="E184" s="82"/>
      <c r="F184" s="214">
        <f t="shared" ca="1" si="3"/>
        <v>809.39391674421199</v>
      </c>
    </row>
    <row r="185" spans="2:6" x14ac:dyDescent="0.2">
      <c r="B185" s="231">
        <f ca="1">IF(Altitude_culmi&gt;350, 160, NA())</f>
        <v>160</v>
      </c>
      <c r="C185" s="5">
        <v>25</v>
      </c>
      <c r="D185" s="82">
        <f t="shared" ca="1" si="2"/>
        <v>854.39391674421199</v>
      </c>
      <c r="E185" s="82"/>
      <c r="F185" s="214">
        <f t="shared" ca="1" si="3"/>
        <v>804.39391674421199</v>
      </c>
    </row>
    <row r="186" spans="2:6" x14ac:dyDescent="0.2">
      <c r="B186" s="231">
        <f ca="1">IF(Altitude_culmi&gt;350, 115, NA())</f>
        <v>115</v>
      </c>
      <c r="C186" s="5">
        <v>30</v>
      </c>
      <c r="D186" s="82">
        <f t="shared" ca="1" si="2"/>
        <v>859.39391674421199</v>
      </c>
      <c r="E186" s="82"/>
      <c r="F186" s="214">
        <f t="shared" ca="1" si="3"/>
        <v>799.39391674421199</v>
      </c>
    </row>
    <row r="187" spans="2:6" x14ac:dyDescent="0.2">
      <c r="B187" s="231">
        <f ca="1">IF(Altitude_culmi&gt;350, 90, NA())</f>
        <v>90</v>
      </c>
      <c r="C187" s="5">
        <v>36</v>
      </c>
      <c r="D187" s="82">
        <f t="shared" ca="1" si="2"/>
        <v>865.39391674421199</v>
      </c>
      <c r="E187" s="82"/>
      <c r="F187" s="214">
        <f t="shared" ca="1" si="3"/>
        <v>793.39391674421199</v>
      </c>
    </row>
    <row r="188" spans="2:6" x14ac:dyDescent="0.2">
      <c r="B188" s="231">
        <f ca="1">IF(Altitude_culmi&gt;350, 57, NA())</f>
        <v>57</v>
      </c>
      <c r="C188" s="5">
        <v>48</v>
      </c>
      <c r="D188" s="82">
        <f t="shared" ca="1" si="2"/>
        <v>877.39391674421199</v>
      </c>
      <c r="E188" s="82"/>
      <c r="F188" s="214">
        <f t="shared" ca="1" si="3"/>
        <v>781.39391674421199</v>
      </c>
    </row>
    <row r="189" spans="2:6" x14ac:dyDescent="0.2">
      <c r="B189" s="231">
        <f ca="1">IF(Altitude_culmi&gt;350, 40, NA())</f>
        <v>40</v>
      </c>
      <c r="C189" s="5">
        <v>62</v>
      </c>
      <c r="D189" s="82">
        <f t="shared" ca="1" si="2"/>
        <v>891.39391674421199</v>
      </c>
      <c r="E189" s="82"/>
      <c r="F189" s="214">
        <f t="shared" ca="1" si="3"/>
        <v>767.39391674421199</v>
      </c>
    </row>
    <row r="190" spans="2:6" x14ac:dyDescent="0.2">
      <c r="B190" s="231">
        <f ca="1">IF(Altitude_culmi&gt;350, 20, NA())</f>
        <v>20</v>
      </c>
      <c r="C190" s="5">
        <v>37</v>
      </c>
      <c r="D190" s="82">
        <f t="shared" ca="1" si="2"/>
        <v>866.39391674421199</v>
      </c>
      <c r="E190" s="82"/>
      <c r="F190" s="214">
        <f t="shared" ca="1" si="3"/>
        <v>792.39391674421199</v>
      </c>
    </row>
    <row r="191" spans="2:6" x14ac:dyDescent="0.2">
      <c r="B191" s="231">
        <f ca="1">IF(Altitude_culmi&gt;350, 0.5, NA())</f>
        <v>0.5</v>
      </c>
      <c r="C191" s="5">
        <v>30</v>
      </c>
      <c r="D191" s="82">
        <f t="shared" ca="1" si="2"/>
        <v>859.39391674421199</v>
      </c>
      <c r="E191" s="82"/>
      <c r="F191" s="214">
        <f t="shared" ca="1" si="3"/>
        <v>799.39391674421199</v>
      </c>
    </row>
    <row r="192" spans="2:6" x14ac:dyDescent="0.2">
      <c r="B192" s="231">
        <f ca="1">IF(Altitude_culmi&gt;350, 0.5, NA())</f>
        <v>0.5</v>
      </c>
      <c r="C192" s="5">
        <v>15</v>
      </c>
      <c r="D192" s="82">
        <f t="shared" ca="1" si="2"/>
        <v>844.39391674421199</v>
      </c>
      <c r="E192" s="82"/>
      <c r="F192" s="214">
        <f t="shared" ca="1" si="3"/>
        <v>814.39391674421199</v>
      </c>
    </row>
    <row r="193" spans="2:6" x14ac:dyDescent="0.2">
      <c r="B193" s="231">
        <f ca="1">IF(Altitude_culmi&gt;350, 15, NA())</f>
        <v>15</v>
      </c>
      <c r="C193" s="5">
        <v>0</v>
      </c>
      <c r="D193" s="82">
        <f t="shared" ca="1" si="2"/>
        <v>829.39391674421199</v>
      </c>
      <c r="E193" s="82"/>
      <c r="F193" s="214">
        <f t="shared" ca="1" si="3"/>
        <v>829.39391674421199</v>
      </c>
    </row>
    <row r="194" spans="2:6" x14ac:dyDescent="0.2">
      <c r="B194" s="231">
        <f ca="1">IF(Altitude_culmi&gt;350, 30, NA())</f>
        <v>30</v>
      </c>
      <c r="C194" s="5">
        <v>0</v>
      </c>
      <c r="D194" s="82">
        <f t="shared" ca="1" si="2"/>
        <v>829.39391674421199</v>
      </c>
      <c r="E194" s="82"/>
      <c r="F194" s="214">
        <f t="shared" ca="1" si="3"/>
        <v>829.39391674421199</v>
      </c>
    </row>
    <row r="195" spans="2:6" x14ac:dyDescent="0.2">
      <c r="B195" s="231">
        <f ca="1">IF(Altitude_culmi&gt;350, 37, NA())</f>
        <v>37</v>
      </c>
      <c r="C195" s="5">
        <v>17</v>
      </c>
      <c r="D195" s="82">
        <f t="shared" ca="1" si="2"/>
        <v>846.39391674421199</v>
      </c>
      <c r="E195" s="82"/>
      <c r="F195" s="214">
        <f t="shared" ca="1" si="3"/>
        <v>812.39391674421199</v>
      </c>
    </row>
    <row r="196" spans="2:6" x14ac:dyDescent="0.2">
      <c r="B196" s="231">
        <f ca="1">IF(Altitude_culmi&gt;350, 67, NA())</f>
        <v>67</v>
      </c>
      <c r="C196" s="5">
        <v>11</v>
      </c>
      <c r="D196" s="82">
        <f t="shared" ca="1" si="2"/>
        <v>840.39391674421199</v>
      </c>
      <c r="E196" s="82"/>
      <c r="F196" s="214">
        <f t="shared" ca="1" si="3"/>
        <v>818.39391674421199</v>
      </c>
    </row>
    <row r="197" spans="2:6" x14ac:dyDescent="0.2">
      <c r="B197" s="231">
        <f ca="1">IF(Altitude_culmi&gt;350, 67, NA())</f>
        <v>67</v>
      </c>
      <c r="C197" s="421">
        <v>0</v>
      </c>
      <c r="D197" s="230">
        <f t="shared" ca="1" si="2"/>
        <v>829.39391674421199</v>
      </c>
      <c r="E197" s="230"/>
      <c r="F197" s="216">
        <f t="shared" ca="1" si="3"/>
        <v>829.39391674421199</v>
      </c>
    </row>
    <row r="198" spans="2:6" x14ac:dyDescent="0.2">
      <c r="B198" s="231">
        <f ca="1">IF(Altitude_culmi&gt;350, 100, NA())</f>
        <v>100</v>
      </c>
    </row>
    <row r="199" spans="2:6" x14ac:dyDescent="0.2">
      <c r="B199" s="229">
        <f ca="1">IF(Altitude_culmi&gt;350, 100, NA())</f>
        <v>100</v>
      </c>
    </row>
  </sheetData>
  <sheetProtection password="C6AC" sheet="1"/>
  <protectedRanges>
    <protectedRange sqref="C25" name="Plage1"/>
  </protectedRanges>
  <mergeCells count="41">
    <mergeCell ref="C2:D3"/>
    <mergeCell ref="C7:D7"/>
    <mergeCell ref="C8:D8"/>
    <mergeCell ref="C9:D9"/>
    <mergeCell ref="C6:D6"/>
    <mergeCell ref="C4:D4"/>
    <mergeCell ref="H33:I33"/>
    <mergeCell ref="H32:I32"/>
    <mergeCell ref="F28:G28"/>
    <mergeCell ref="H31:I31"/>
    <mergeCell ref="A38:D38"/>
    <mergeCell ref="H34:I34"/>
    <mergeCell ref="F34:G34"/>
    <mergeCell ref="F33:G33"/>
    <mergeCell ref="F32:G32"/>
    <mergeCell ref="F38:G38"/>
    <mergeCell ref="C22:D22"/>
    <mergeCell ref="C17:D17"/>
    <mergeCell ref="F23:G23"/>
    <mergeCell ref="F27:G27"/>
    <mergeCell ref="F26:G26"/>
    <mergeCell ref="F24:G24"/>
    <mergeCell ref="F25:G25"/>
    <mergeCell ref="C15:D15"/>
    <mergeCell ref="C10:D10"/>
    <mergeCell ref="C19:D19"/>
    <mergeCell ref="C20:D20"/>
    <mergeCell ref="C11:D11"/>
    <mergeCell ref="C13:D13"/>
    <mergeCell ref="C14:D14"/>
    <mergeCell ref="C18:D18"/>
    <mergeCell ref="F49:G49"/>
    <mergeCell ref="F40:G40"/>
    <mergeCell ref="F41:G41"/>
    <mergeCell ref="F42:G42"/>
    <mergeCell ref="F43:G43"/>
    <mergeCell ref="F48:G48"/>
    <mergeCell ref="F44:G44"/>
    <mergeCell ref="F45:G45"/>
    <mergeCell ref="F47:G47"/>
    <mergeCell ref="F46:G46"/>
  </mergeCells>
  <phoneticPr fontId="8" type="noConversion"/>
  <conditionalFormatting sqref="B26">
    <cfRule type="expression" dxfId="26" priority="89" stopIfTrue="1">
      <formula>NOT(OR(C25=F108,C25=F102,Nb_sat="1 satellite"))</formula>
    </cfRule>
  </conditionalFormatting>
  <conditionalFormatting sqref="C26">
    <cfRule type="expression" dxfId="25" priority="91" stopIfTrue="1">
      <formula>NOT(OR(C25=F108,C25=F102))</formula>
    </cfRule>
  </conditionalFormatting>
  <conditionalFormatting sqref="C30">
    <cfRule type="cellIs" dxfId="24" priority="42" stopIfTrue="1" operator="notBetween">
      <formula>5</formula>
      <formula>15</formula>
    </cfRule>
  </conditionalFormatting>
  <conditionalFormatting sqref="D24">
    <cfRule type="expression" dxfId="23" priority="39" stopIfTrue="1">
      <formula>Nb_sat="0 satellite"</formula>
    </cfRule>
  </conditionalFormatting>
  <conditionalFormatting sqref="D25">
    <cfRule type="expression" dxfId="22" priority="2" stopIfTrue="1">
      <formula>Nb_sat="0 satellite"</formula>
    </cfRule>
  </conditionalFormatting>
  <conditionalFormatting sqref="D26:D29 D31:D33">
    <cfRule type="expression" dxfId="21" priority="59" stopIfTrue="1">
      <formula>Nb_sat="0 satellite"</formula>
    </cfRule>
  </conditionalFormatting>
  <conditionalFormatting sqref="D30">
    <cfRule type="expression" dxfId="20" priority="40" stopIfTrue="1">
      <formula>Nb_sat="0 satellite"</formula>
    </cfRule>
    <cfRule type="cellIs" dxfId="19" priority="49" stopIfTrue="1" operator="notBetween">
      <formula>5</formula>
      <formula>15</formula>
    </cfRule>
  </conditionalFormatting>
  <conditionalFormatting sqref="F25">
    <cfRule type="expression" dxfId="18" priority="26" stopIfTrue="1">
      <formula>Nb_sat="0 satellite"</formula>
    </cfRule>
  </conditionalFormatting>
  <conditionalFormatting sqref="F34:I34 F48:M48">
    <cfRule type="expression" dxfId="17" priority="22" stopIfTrue="1">
      <formula>Nb_sat="0 satellite"</formula>
    </cfRule>
  </conditionalFormatting>
  <conditionalFormatting sqref="F49:M49">
    <cfRule type="expression" dxfId="16" priority="21" stopIfTrue="1">
      <formula>Nb_sat="0 satellite"</formula>
    </cfRule>
  </conditionalFormatting>
  <conditionalFormatting sqref="H27 H46">
    <cfRule type="expression" dxfId="15" priority="4" stopIfTrue="1">
      <formula>ABS(Temps_culmi-T_para)&gt;2</formula>
    </cfRule>
  </conditionalFormatting>
  <conditionalFormatting sqref="H32:I32">
    <cfRule type="cellIs" dxfId="14" priority="14" stopIfTrue="1" operator="equal">
      <formula>"Brun/Orange…"</formula>
    </cfRule>
  </conditionalFormatting>
  <conditionalFormatting sqref="H33:I33">
    <cfRule type="cellIs" dxfId="13" priority="13" stopIfTrue="1" operator="equal">
      <formula>"Rouge…"</formula>
    </cfRule>
  </conditionalFormatting>
  <conditionalFormatting sqref="H25:M25">
    <cfRule type="expression" dxfId="12" priority="41" stopIfTrue="1">
      <formula>Nb_sat="0 satellite"</formula>
    </cfRule>
  </conditionalFormatting>
  <conditionalFormatting sqref="J28 J45">
    <cfRule type="expression" dxfId="11" priority="6" stopIfTrue="1">
      <formula>AND(Portee_balistique&gt;200,LEFT(Type_propu,4)="Mini")</formula>
    </cfRule>
  </conditionalFormatting>
  <conditionalFormatting sqref="K23 K41">
    <cfRule type="expression" dxfId="10" priority="44" stopIfTrue="1">
      <formula>AND(Vsortie_de_rampe&lt;18, OR(LEFT(Type_fusee,1)=",",LEFT(Type_fusee,4)="Mini",LEFT(Type_fusee,1)="R"))</formula>
    </cfRule>
    <cfRule type="expression" dxfId="9" priority="45" stopIfTrue="1">
      <formula>AND(Vsortie_de_rampe&lt;20, RIGHT(Type_fusee,1)=".")</formula>
    </cfRule>
  </conditionalFormatting>
  <conditionalFormatting sqref="K40">
    <cfRule type="expression" dxfId="8" priority="34" stopIfTrue="1">
      <formula>AND( $K$21=0, OR( $I$21&gt;0, $J$21&gt;0 ) )</formula>
    </cfRule>
  </conditionalFormatting>
  <conditionalFormatting sqref="N33">
    <cfRule type="expression" dxfId="7" priority="15" stopIfTrue="1">
      <formula>ROUND(SUM(C23:L34),0)=1914</formula>
    </cfRule>
  </conditionalFormatting>
  <conditionalFormatting sqref="N34">
    <cfRule type="expression" dxfId="6" priority="16" stopIfTrue="1">
      <formula>$N$34="propu NOK"</formula>
    </cfRule>
  </conditionalFormatting>
  <dataValidations count="14">
    <dataValidation type="decimal" operator="greaterThanOrEqual" showErrorMessage="1" sqref="H40:K40 C29 C26 D26:D27" xr:uid="{00000000-0002-0000-0100-000000000000}">
      <formula1>0</formula1>
    </dataValidation>
    <dataValidation type="list" allowBlank="1" showInputMessage="1" showErrorMessage="1" sqref="H50" xr:uid="{00000000-0002-0000-0100-000001000000}">
      <formula1>gao</formula1>
    </dataValidation>
    <dataValidation operator="greaterThanOrEqual" showErrorMessage="1" sqref="D29 C27" xr:uid="{00000000-0002-0000-0100-000002000000}"/>
    <dataValidation type="decimal" errorStyle="warning" allowBlank="1" showErrorMessage="1" errorTitle="Cx para" error="Le Cx du parachute est souvent compris entre 0 et 2._x000a_Cx of parachute might be between 0 a 2." sqref="C28:D28" xr:uid="{00000000-0002-0000-0100-000003000000}">
      <formula1>0</formula1>
      <formula2>2</formula2>
    </dataValidation>
    <dataValidation sqref="C11:D11" xr:uid="{00000000-0002-0000-0100-000004000000}"/>
    <dataValidation operator="greaterThanOrEqual" sqref="C10:D10" xr:uid="{00000000-0002-0000-0100-000005000000}"/>
    <dataValidation type="decimal" errorStyle="warning" showErrorMessage="1" errorTitle="Cx" error="Le Cx est souvent compris entre 0,3 et 0,7._x000a_Cx may be between 0,3 &amp; 0,7." sqref="C15:D15" xr:uid="{00000000-0002-0000-0100-000006000000}">
      <formula1>0.3</formula1>
      <formula2>0.7</formula2>
    </dataValidation>
    <dataValidation type="decimal" operator="greaterThanOrEqual" allowBlank="1" showErrorMessage="1" sqref="C18:D18" xr:uid="{00000000-0002-0000-0100-000007000000}">
      <formula1>0</formula1>
    </dataValidation>
    <dataValidation type="decimal" errorStyle="information" allowBlank="1" showInputMessage="1" showErrorMessage="1" errorTitle="Angle de la rampe" error="Il est conseillé d'incliner à rampe entre 75° et 85° par rapport à l'horizontale._x000a_This Angle is recommended between 75° &amp; 85°." sqref="C19:D19" xr:uid="{00000000-0002-0000-0100-000008000000}">
      <formula1>75</formula1>
      <formula2>85</formula2>
    </dataValidation>
    <dataValidation type="whole" operator="greaterThanOrEqual" allowBlank="1" showErrorMessage="1" sqref="C20:D20" xr:uid="{00000000-0002-0000-0100-000009000000}">
      <formula1>0</formula1>
    </dataValidation>
    <dataValidation type="whole" allowBlank="1" showErrorMessage="1" sqref="M40" xr:uid="{00000000-0002-0000-0100-00000A000000}">
      <formula1>-360</formula1>
      <formula2>360</formula2>
    </dataValidation>
    <dataValidation type="list" showInputMessage="1" showErrorMessage="1" sqref="D23" xr:uid="{00000000-0002-0000-0100-00000B000000}">
      <formula1>Menu_sat</formula1>
    </dataValidation>
    <dataValidation type="whole" operator="greaterThanOrEqual" showErrorMessage="1" sqref="B43 B45 B51 B53" xr:uid="{00000000-0002-0000-0100-00000C000000}">
      <formula1>0</formula1>
    </dataValidation>
    <dataValidation type="list" showInputMessage="1" showErrorMessage="1" sqref="C25" xr:uid="{00000000-0002-0000-0100-00000D000000}">
      <formula1>IF(Depotage&lt;&gt;0,IF(LEFT(Type_propu,5)="Micro",$F$108,$F$103:$F$108),$F$102)</formula1>
    </dataValidation>
  </dataValidations>
  <hyperlinks>
    <hyperlink ref="B11" location="Stabilito!C17" display="Stabilito!C17" xr:uid="{00000000-0004-0000-0100-000000000000}"/>
  </hyperlinks>
  <printOptions horizontalCentered="1" verticalCentered="1"/>
  <pageMargins left="7.874015748031496E-2" right="7.874015748031496E-2" top="7.874015748031496E-2" bottom="7.874015748031496E-2" header="0" footer="0"/>
  <pageSetup paperSize="9" firstPageNumber="0" orientation="landscape" horizontalDpi="300" verticalDpi="300" r:id="rId1"/>
  <headerFooter alignWithMargins="0"/>
  <ignoredErrors>
    <ignoredError sqref="B126:B132 B138:B149 C149 C151 C136:C138 C140:C147 C124:C130" formula="1"/>
    <ignoredError sqref="H44:I44 H47 J44:M44" evalError="1"/>
    <ignoredError sqref="G103:G107" numberStoredAsText="1"/>
    <ignoredError sqref="D2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4424" r:id="rId4" name="Spinner 1064">
              <controlPr defaultSize="0" print="0" autoPict="0">
                <anchor moveWithCells="1" sizeWithCells="1">
                  <from>
                    <xdr:col>3</xdr:col>
                    <xdr:colOff>638175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89" r:id="rId5" name="Spinner 1229">
              <controlPr defaultSize="0" print="0" autoPict="0">
                <anchor moveWithCells="1" sizeWithCells="1">
                  <from>
                    <xdr:col>1</xdr:col>
                    <xdr:colOff>981075</xdr:colOff>
                    <xdr:row>42</xdr:row>
                    <xdr:rowOff>9525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0" r:id="rId6" name="Spinner 1230">
              <controlPr defaultSize="0" print="0" autoPict="0">
                <anchor moveWithCells="1" sizeWithCells="1">
                  <from>
                    <xdr:col>1</xdr:col>
                    <xdr:colOff>981075</xdr:colOff>
                    <xdr:row>44</xdr:row>
                    <xdr:rowOff>9525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1" r:id="rId7" name="Spinner 1231">
              <controlPr defaultSize="0" print="0" autoPict="0">
                <anchor moveWithCells="1" sizeWithCells="1">
                  <from>
                    <xdr:col>1</xdr:col>
                    <xdr:colOff>981075</xdr:colOff>
                    <xdr:row>50</xdr:row>
                    <xdr:rowOff>9525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462" r:id="rId8" name="Spinner 4550">
              <controlPr defaultSize="0" print="0" autoPict="0">
                <anchor moveWithCells="1" sizeWithCells="1">
                  <from>
                    <xdr:col>1</xdr:col>
                    <xdr:colOff>981075</xdr:colOff>
                    <xdr:row>52</xdr:row>
                    <xdr:rowOff>9525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B75:B146"/>
  <sheetViews>
    <sheetView showGridLines="0" topLeftCell="A31" zoomScaleNormal="100" workbookViewId="0">
      <selection activeCell="M67" sqref="M67"/>
    </sheetView>
  </sheetViews>
  <sheetFormatPr baseColWidth="10" defaultRowHeight="12.75" x14ac:dyDescent="0.2"/>
  <sheetData>
    <row r="75" spans="2:2" x14ac:dyDescent="0.2">
      <c r="B75" t="s">
        <v>44</v>
      </c>
    </row>
    <row r="76" spans="2:2" x14ac:dyDescent="0.2">
      <c r="B76" t="str">
        <f>IF(Lang="Français","Ces courbes représentent la trajectoire de la fusée dans l'hypothèse d'une descente balistique (sans ouverture du parachute). ","These curves show the rocket trajectory in case of ballistic fall (without parachute).")</f>
        <v xml:space="preserve">Ces courbes représentent la trajectoire de la fusée dans l'hypothèse d'une descente balistique (sans ouverture du parachute). </v>
      </c>
    </row>
    <row r="77" spans="2:2" x14ac:dyDescent="0.2">
      <c r="B77" t="str">
        <f>IF(Lang="Français","L'accélération longitudinale gravitationnelle définit le mouvement (dérivée de la vitesse) : Acc = (Poussee - Traînée ± Poids) / m",IF(Lang="English","Longitudinal Gravitaionnal Acceleration defines the motion (velocity derivative) : Acc = (Thrust - Drag ± Weight)/m",""))</f>
        <v>L'accélération longitudinale gravitationnelle définit le mouvement (dérivée de la vitesse) : Acc = (Poussee - Traînée ± Poids) / m</v>
      </c>
    </row>
    <row r="78" spans="2:2" x14ac:dyDescent="0.2">
      <c r="B78" t="str">
        <f>IF(Lang="Français","La charge ''non-gravitationnelle'' vue par un capteur d'accélération (masse-ressort) est : Charge = (Poussée - Traînée) / m",IF(Lang="English","''Non-Gravitaionnal'' Load seen by an acceleration sensor (mass-spring) is : Load = (Thrust - Drag) / m",""))</f>
        <v>La charge ''non-gravitationnelle'' vue par un capteur d'accélération (masse-ressort) est : Charge = (Poussée - Traînée) / m</v>
      </c>
    </row>
    <row r="79" spans="2:2" x14ac:dyDescent="0.2">
      <c r="B79" t="str">
        <f>IF(Lang="Français","Exemples : Si Poussée = Poids, Vitesse constante, Acc nulle, Charge = 1G ; En chute libre, Acc = -1G, Charge = 0",IF(Lang="English","",""))</f>
        <v>Exemples : Si Poussée = Poids, Vitesse constante, Acc nulle, Charge = 1G ; En chute libre, Acc = -1G, Charge = 0</v>
      </c>
    </row>
    <row r="131" spans="2:2" x14ac:dyDescent="0.2">
      <c r="B131" s="24" t="str">
        <f>IF(Lang="Français","Textes pour les graphiques :","Texts for graphics :")</f>
        <v>Textes pour les graphiques :</v>
      </c>
    </row>
    <row r="133" spans="2:2" x14ac:dyDescent="0.2">
      <c r="B133" t="str">
        <f>IF(Lang="Français","Traînée",IF(Lang="English","Drag",""))</f>
        <v>Traînée</v>
      </c>
    </row>
    <row r="134" spans="2:2" x14ac:dyDescent="0.2">
      <c r="B134" t="str">
        <f>IF(Lang="Français","Poussée",IF(Lang="English","Thrust",""))</f>
        <v>Poussée</v>
      </c>
    </row>
    <row r="135" spans="2:2" x14ac:dyDescent="0.2">
      <c r="B135" t="str">
        <f>IF(Lang="Français","Poids",IF(Lang="English","Weight",""))</f>
        <v>Poids</v>
      </c>
    </row>
    <row r="137" spans="2:2" x14ac:dyDescent="0.2">
      <c r="B137" t="str">
        <f>IF(Lang="Français","Accélération longitudinale",IF(Lang="English","Longitudinal Acceleration",""))</f>
        <v>Accélération longitudinale</v>
      </c>
    </row>
    <row r="138" spans="2:2" x14ac:dyDescent="0.2">
      <c r="B138" t="str">
        <f>IF(Lang="Français","Charge vue par un capteur",IF(Lang="English","Load seen by a sensor",""))</f>
        <v>Charge vue par un capteur</v>
      </c>
    </row>
    <row r="140" spans="2:2" x14ac:dyDescent="0.2">
      <c r="B140" t="str">
        <f>IF(Lang="Français","Vitesse",IF(Lang="English","Velocity",""))</f>
        <v>Vitesse</v>
      </c>
    </row>
    <row r="141" spans="2:2" x14ac:dyDescent="0.2">
      <c r="B141" t="str">
        <f>IF(Lang="Français","Vitesse [m/s]",IF(Lang="English","Velocity [m/s]",""))</f>
        <v>Vitesse [m/s]</v>
      </c>
    </row>
    <row r="143" spans="2:2" x14ac:dyDescent="0.2">
      <c r="B143" t="s">
        <v>6</v>
      </c>
    </row>
    <row r="144" spans="2:2" x14ac:dyDescent="0.2">
      <c r="B144" t="str">
        <f>IF(Lang="Français","Portée",IF(Lang="English","Range",""))</f>
        <v>Portée</v>
      </c>
    </row>
    <row r="146" spans="2:2" x14ac:dyDescent="0.2">
      <c r="B146" t="str">
        <f>IF(Lang="Français","Temps [s]",IF(Lang="English","Time [s]",""))</f>
        <v>Temps [s]</v>
      </c>
    </row>
  </sheetData>
  <sheetProtection password="C6AC" sheet="1"/>
  <phoneticPr fontId="8" type="noConversion"/>
  <printOptions horizontalCentered="1" verticalCentered="1"/>
  <pageMargins left="0.39370078740157483" right="0.39370078740157483" top="0.39370078740157483" bottom="0.39370078740157483" header="0" footer="0"/>
  <pageSetup scale="76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pageSetUpPr fitToPage="1"/>
  </sheetPr>
  <dimension ref="A1:Z346"/>
  <sheetViews>
    <sheetView showGridLines="0" zoomScale="80" zoomScaleNormal="80" workbookViewId="0">
      <selection activeCell="K6" sqref="K6"/>
    </sheetView>
  </sheetViews>
  <sheetFormatPr baseColWidth="10" defaultRowHeight="12.75" x14ac:dyDescent="0.2"/>
  <cols>
    <col min="1" max="1" width="22.42578125" bestFit="1" customWidth="1"/>
  </cols>
  <sheetData>
    <row r="1" spans="1:26" ht="13.5" thickBot="1" x14ac:dyDescent="0.25">
      <c r="A1" s="362" t="str">
        <f>IF(Lang="Français","Moteur sélectionné","Selected motor")</f>
        <v>Moteur sélectionné</v>
      </c>
      <c r="B1" s="362" t="s">
        <v>32</v>
      </c>
    </row>
    <row r="2" spans="1:26" ht="13.5" thickBot="1" x14ac:dyDescent="0.25">
      <c r="A2" s="352" t="str">
        <f>Propu</f>
        <v>Barasinga (Pro54-5G C)</v>
      </c>
      <c r="B2" s="352">
        <f>VLOOKUP(A2,A26:B314,2,FALSE)</f>
        <v>279</v>
      </c>
      <c r="C2" s="363" t="s">
        <v>116</v>
      </c>
      <c r="D2" s="353">
        <f ca="1">INDIRECT(ADDRESS(B2,4))</f>
        <v>2058.37</v>
      </c>
      <c r="E2" s="363" t="s">
        <v>115</v>
      </c>
      <c r="F2" s="354">
        <f ca="1">INDIRECT(ADDRESS(B2,6))</f>
        <v>203.12066731598335</v>
      </c>
      <c r="G2" s="363" t="s">
        <v>57</v>
      </c>
      <c r="H2" s="355">
        <f ca="1">INDIRECT(ADDRESS(B2,8))</f>
        <v>1.6850000000000001</v>
      </c>
      <c r="I2" s="363" t="s">
        <v>272</v>
      </c>
      <c r="J2" s="356">
        <f ca="1">INDIRECT(ADDRESS(B2,10))</f>
        <v>1.0329999999999999</v>
      </c>
      <c r="K2" s="363" t="s">
        <v>59</v>
      </c>
      <c r="L2" s="355">
        <f ca="1">INDIRECT(ADDRESS(B2,12))</f>
        <v>0.65200000000000002</v>
      </c>
      <c r="M2" s="363" t="s">
        <v>58</v>
      </c>
      <c r="N2" s="357">
        <f ca="1">INDIRECT(ADDRESS(B2,14))</f>
        <v>250</v>
      </c>
      <c r="O2" s="363" t="s">
        <v>60</v>
      </c>
      <c r="P2" s="357">
        <f ca="1">INDIRECT(ADDRESS(B2,16))</f>
        <v>240</v>
      </c>
      <c r="Q2" s="363" t="s">
        <v>61</v>
      </c>
      <c r="R2" s="357">
        <f ca="1">INDIRECT(ADDRESS(B2,18))</f>
        <v>488</v>
      </c>
      <c r="S2" s="363" t="s">
        <v>62</v>
      </c>
      <c r="T2" s="357">
        <f ca="1">INDIRECT(ADDRESS(B2,20))</f>
        <v>54</v>
      </c>
      <c r="U2" s="363" t="s">
        <v>55</v>
      </c>
      <c r="V2" s="358" t="str">
        <f ca="1">INDIRECT(ADDRESS(B2,22))</f>
        <v>Fusex</v>
      </c>
      <c r="W2" s="463" t="s">
        <v>394</v>
      </c>
      <c r="X2" s="464">
        <f ca="1">INDIRECT(ADDRESS(B2,24))</f>
        <v>0</v>
      </c>
      <c r="Y2" s="463" t="s">
        <v>393</v>
      </c>
      <c r="Z2" s="358">
        <f ca="1">INDIRECT(ADDRESS(B2,26))</f>
        <v>0</v>
      </c>
    </row>
    <row r="3" spans="1:26" x14ac:dyDescent="0.2">
      <c r="A3" s="362" t="str">
        <f>IF(Lang="Français","Temps (en s)","Time (s)")</f>
        <v>Temps (en s)</v>
      </c>
      <c r="B3" s="364">
        <f t="shared" ref="B3:Y3" ca="1" si="0">INDIRECT(ADDRESS($B2+1,COLUMN(B3)))</f>
        <v>0</v>
      </c>
      <c r="C3" s="365">
        <f t="shared" ca="1" si="0"/>
        <v>0.05</v>
      </c>
      <c r="D3" s="365">
        <f t="shared" ca="1" si="0"/>
        <v>0.5</v>
      </c>
      <c r="E3" s="365">
        <f t="shared" ca="1" si="0"/>
        <v>1</v>
      </c>
      <c r="F3" s="365">
        <f t="shared" ca="1" si="0"/>
        <v>1.5</v>
      </c>
      <c r="G3" s="365">
        <f t="shared" ca="1" si="0"/>
        <v>2</v>
      </c>
      <c r="H3" s="365">
        <f t="shared" ca="1" si="0"/>
        <v>2.5</v>
      </c>
      <c r="I3" s="365">
        <f t="shared" ca="1" si="0"/>
        <v>2.97</v>
      </c>
      <c r="J3" s="365">
        <f t="shared" ca="1" si="0"/>
        <v>3.2</v>
      </c>
      <c r="K3" s="365">
        <f t="shared" ca="1" si="0"/>
        <v>3.47</v>
      </c>
      <c r="L3" s="365">
        <f t="shared" ca="1" si="0"/>
        <v>3.59</v>
      </c>
      <c r="M3" s="365">
        <f t="shared" ca="1" si="0"/>
        <v>3.59</v>
      </c>
      <c r="N3" s="365">
        <f t="shared" ca="1" si="0"/>
        <v>3.59</v>
      </c>
      <c r="O3" s="365">
        <f t="shared" ca="1" si="0"/>
        <v>3.59</v>
      </c>
      <c r="P3" s="365">
        <f t="shared" ca="1" si="0"/>
        <v>3.59</v>
      </c>
      <c r="Q3" s="365">
        <f t="shared" ca="1" si="0"/>
        <v>3.59</v>
      </c>
      <c r="R3" s="365">
        <f t="shared" ca="1" si="0"/>
        <v>3.59</v>
      </c>
      <c r="S3" s="365">
        <f t="shared" ca="1" si="0"/>
        <v>3.59</v>
      </c>
      <c r="T3" s="365">
        <f t="shared" ca="1" si="0"/>
        <v>3.59</v>
      </c>
      <c r="U3" s="365">
        <f t="shared" ca="1" si="0"/>
        <v>3.59</v>
      </c>
      <c r="V3" s="365">
        <f t="shared" ca="1" si="0"/>
        <v>3.59</v>
      </c>
      <c r="W3" s="365">
        <f t="shared" ca="1" si="0"/>
        <v>3.59</v>
      </c>
      <c r="X3" s="365">
        <f ca="1">INDIRECT(ADDRESS($B2+1,COLUMN(X3)))</f>
        <v>3.59</v>
      </c>
      <c r="Y3" s="366">
        <f t="shared" ca="1" si="0"/>
        <v>1000</v>
      </c>
    </row>
    <row r="4" spans="1:26" ht="13.5" thickBot="1" x14ac:dyDescent="0.25">
      <c r="A4" s="379" t="str">
        <f>IF(Lang="Français","Poussée (en N)","Thrust (N)")</f>
        <v>Poussée (en N)</v>
      </c>
      <c r="B4" s="367">
        <f t="shared" ref="B4:Y4" ca="1" si="1">INDIRECT(ADDRESS($B2+2,COLUMN(B3)))</f>
        <v>0</v>
      </c>
      <c r="C4" s="368">
        <f t="shared" ca="1" si="1"/>
        <v>893</v>
      </c>
      <c r="D4" s="368">
        <f t="shared" ca="1" si="1"/>
        <v>798</v>
      </c>
      <c r="E4" s="368">
        <f t="shared" ca="1" si="1"/>
        <v>739</v>
      </c>
      <c r="F4" s="368">
        <f t="shared" ca="1" si="1"/>
        <v>659</v>
      </c>
      <c r="G4" s="368">
        <f t="shared" ca="1" si="1"/>
        <v>586</v>
      </c>
      <c r="H4" s="368">
        <f t="shared" ca="1" si="1"/>
        <v>513</v>
      </c>
      <c r="I4" s="368">
        <f t="shared" ca="1" si="1"/>
        <v>417</v>
      </c>
      <c r="J4" s="368">
        <f t="shared" ca="1" si="1"/>
        <v>225</v>
      </c>
      <c r="K4" s="368">
        <f t="shared" ca="1" si="1"/>
        <v>67</v>
      </c>
      <c r="L4" s="368">
        <f t="shared" ca="1" si="1"/>
        <v>0</v>
      </c>
      <c r="M4" s="368">
        <f t="shared" ca="1" si="1"/>
        <v>0</v>
      </c>
      <c r="N4" s="368">
        <f t="shared" ca="1" si="1"/>
        <v>0</v>
      </c>
      <c r="O4" s="368">
        <f t="shared" ca="1" si="1"/>
        <v>0</v>
      </c>
      <c r="P4" s="368">
        <f t="shared" ca="1" si="1"/>
        <v>0</v>
      </c>
      <c r="Q4" s="368">
        <f t="shared" ca="1" si="1"/>
        <v>0</v>
      </c>
      <c r="R4" s="368">
        <f t="shared" ca="1" si="1"/>
        <v>0</v>
      </c>
      <c r="S4" s="368">
        <f t="shared" ca="1" si="1"/>
        <v>0</v>
      </c>
      <c r="T4" s="368">
        <f t="shared" ca="1" si="1"/>
        <v>0</v>
      </c>
      <c r="U4" s="368">
        <f t="shared" ca="1" si="1"/>
        <v>0</v>
      </c>
      <c r="V4" s="368">
        <f t="shared" ca="1" si="1"/>
        <v>0</v>
      </c>
      <c r="W4" s="368">
        <f t="shared" ca="1" si="1"/>
        <v>0</v>
      </c>
      <c r="X4" s="368">
        <f ca="1">INDIRECT(ADDRESS($B2+2,COLUMN(X3)))</f>
        <v>0</v>
      </c>
      <c r="Y4" s="369">
        <f t="shared" ca="1" si="1"/>
        <v>0</v>
      </c>
    </row>
    <row r="5" spans="1:26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x14ac:dyDescent="0.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6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6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26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26" x14ac:dyDescent="0.2">
      <c r="B10" s="12"/>
      <c r="C10" s="12"/>
      <c r="D10" s="12"/>
      <c r="E10" s="12"/>
      <c r="F10" s="12"/>
      <c r="G10" s="12"/>
      <c r="H10" s="12"/>
      <c r="I10" s="12"/>
      <c r="J10" s="12"/>
    </row>
    <row r="11" spans="1:26" x14ac:dyDescent="0.2">
      <c r="B11" s="12"/>
      <c r="C11" s="12"/>
      <c r="D11" s="12"/>
      <c r="E11" s="12"/>
      <c r="F11" s="12"/>
      <c r="G11" s="12"/>
      <c r="H11" s="12"/>
      <c r="I11" s="12"/>
      <c r="J11" s="12"/>
    </row>
    <row r="12" spans="1:26" x14ac:dyDescent="0.2">
      <c r="B12" s="12"/>
      <c r="C12" s="12"/>
      <c r="D12" s="12"/>
      <c r="E12" s="12"/>
      <c r="F12" s="12"/>
      <c r="G12" s="12"/>
      <c r="H12" s="12"/>
      <c r="I12" s="12"/>
      <c r="J12" s="12"/>
    </row>
    <row r="13" spans="1:26" x14ac:dyDescent="0.2">
      <c r="B13" s="12"/>
      <c r="C13" s="12"/>
      <c r="D13" s="12"/>
      <c r="E13" s="12"/>
      <c r="F13" s="12"/>
      <c r="G13" s="12"/>
      <c r="H13" s="12"/>
      <c r="I13" s="12"/>
      <c r="J13" s="12"/>
    </row>
    <row r="14" spans="1:26" x14ac:dyDescent="0.2">
      <c r="B14" s="12"/>
      <c r="C14" s="12"/>
      <c r="D14" s="12"/>
      <c r="E14" s="12"/>
      <c r="F14" s="12"/>
      <c r="G14" s="12"/>
      <c r="H14" s="12"/>
      <c r="I14" s="12"/>
      <c r="J14" s="12"/>
    </row>
    <row r="15" spans="1:26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6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25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25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5" spans="1:25" ht="13.5" thickBot="1" x14ac:dyDescent="0.25">
      <c r="A25" s="6" t="s">
        <v>275</v>
      </c>
    </row>
    <row r="26" spans="1:25" ht="13.5" thickBot="1" x14ac:dyDescent="0.25">
      <c r="A26" s="361" t="s">
        <v>308</v>
      </c>
      <c r="B26" s="359">
        <f>ROW(A26)</f>
        <v>26</v>
      </c>
      <c r="C26" s="363" t="s">
        <v>116</v>
      </c>
      <c r="D26" s="353">
        <f>SUM(B29:Y29)</f>
        <v>9.8449999999999989</v>
      </c>
      <c r="E26" s="363" t="s">
        <v>115</v>
      </c>
      <c r="F26" s="399">
        <f>D26/g/J26</f>
        <v>3.3452259599048584</v>
      </c>
      <c r="G26" s="363" t="s">
        <v>57</v>
      </c>
      <c r="H26" s="64">
        <v>0.3</v>
      </c>
      <c r="I26" s="363" t="s">
        <v>270</v>
      </c>
      <c r="J26" s="355">
        <f>H26-L26</f>
        <v>0.3</v>
      </c>
      <c r="K26" s="363" t="s">
        <v>271</v>
      </c>
      <c r="L26" s="64">
        <v>0</v>
      </c>
      <c r="M26" s="363" t="s">
        <v>58</v>
      </c>
      <c r="N26" s="65">
        <f>0.2*R26</f>
        <v>60</v>
      </c>
      <c r="O26" s="363" t="s">
        <v>60</v>
      </c>
      <c r="P26" s="65">
        <v>150</v>
      </c>
      <c r="Q26" s="363" t="s">
        <v>61</v>
      </c>
      <c r="R26" s="65">
        <v>300</v>
      </c>
      <c r="S26" s="363" t="s">
        <v>62</v>
      </c>
      <c r="T26" s="65">
        <v>90</v>
      </c>
      <c r="U26" s="363" t="s">
        <v>55</v>
      </c>
      <c r="V26" s="66" t="s">
        <v>275</v>
      </c>
      <c r="W26" s="12"/>
      <c r="X26" s="12"/>
      <c r="Y26" s="12"/>
    </row>
    <row r="27" spans="1:25" x14ac:dyDescent="0.2">
      <c r="A27" s="362" t="s">
        <v>33</v>
      </c>
      <c r="B27" s="370">
        <v>0</v>
      </c>
      <c r="C27" s="371">
        <v>1E-3</v>
      </c>
      <c r="D27" s="371">
        <v>0.02</v>
      </c>
      <c r="E27" s="371">
        <v>3.7999999999999999E-2</v>
      </c>
      <c r="F27" s="371">
        <v>0.04</v>
      </c>
      <c r="G27" s="371">
        <v>0.04</v>
      </c>
      <c r="H27" s="371">
        <v>0.04</v>
      </c>
      <c r="I27" s="371">
        <v>0.04</v>
      </c>
      <c r="J27" s="371">
        <v>0.04</v>
      </c>
      <c r="K27" s="371">
        <v>0.04</v>
      </c>
      <c r="L27" s="371">
        <v>0.04</v>
      </c>
      <c r="M27" s="371">
        <v>0.04</v>
      </c>
      <c r="N27" s="371">
        <v>0.04</v>
      </c>
      <c r="O27" s="371">
        <v>0.04</v>
      </c>
      <c r="P27" s="371">
        <v>0.04</v>
      </c>
      <c r="Q27" s="371">
        <v>0.04</v>
      </c>
      <c r="R27" s="371">
        <v>0.04</v>
      </c>
      <c r="S27" s="371">
        <v>0.04</v>
      </c>
      <c r="T27" s="371">
        <v>0.04</v>
      </c>
      <c r="U27" s="371">
        <v>0.04</v>
      </c>
      <c r="V27" s="371">
        <v>0.04</v>
      </c>
      <c r="W27" s="371">
        <v>0.04</v>
      </c>
      <c r="X27" s="371">
        <v>0.04</v>
      </c>
      <c r="Y27" s="381">
        <v>1000</v>
      </c>
    </row>
    <row r="28" spans="1:25" x14ac:dyDescent="0.2">
      <c r="A28" s="378" t="s">
        <v>34</v>
      </c>
      <c r="B28" s="372">
        <v>0</v>
      </c>
      <c r="C28" s="373">
        <v>310</v>
      </c>
      <c r="D28" s="373">
        <v>250</v>
      </c>
      <c r="E28" s="373">
        <v>212</v>
      </c>
      <c r="F28" s="373">
        <v>0</v>
      </c>
      <c r="G28" s="373">
        <v>0</v>
      </c>
      <c r="H28" s="373">
        <v>0</v>
      </c>
      <c r="I28" s="373">
        <v>0</v>
      </c>
      <c r="J28" s="373">
        <v>0</v>
      </c>
      <c r="K28" s="373">
        <v>0</v>
      </c>
      <c r="L28" s="373">
        <v>0</v>
      </c>
      <c r="M28" s="373">
        <v>0</v>
      </c>
      <c r="N28" s="373">
        <v>0</v>
      </c>
      <c r="O28" s="373">
        <v>0</v>
      </c>
      <c r="P28" s="373">
        <v>0</v>
      </c>
      <c r="Q28" s="373">
        <v>0</v>
      </c>
      <c r="R28" s="373">
        <v>0</v>
      </c>
      <c r="S28" s="373">
        <v>0</v>
      </c>
      <c r="T28" s="373">
        <v>0</v>
      </c>
      <c r="U28" s="373">
        <v>0</v>
      </c>
      <c r="V28" s="373">
        <v>0</v>
      </c>
      <c r="W28" s="373">
        <v>0</v>
      </c>
      <c r="X28" s="373">
        <v>0</v>
      </c>
      <c r="Y28" s="382">
        <v>0</v>
      </c>
    </row>
    <row r="29" spans="1:25" ht="13.5" thickBot="1" x14ac:dyDescent="0.25">
      <c r="A29" s="379" t="s">
        <v>117</v>
      </c>
      <c r="B29" s="374">
        <f t="shared" ref="B29:X29" si="2">(C28+B28)*(C27-B27)/2</f>
        <v>0.155</v>
      </c>
      <c r="C29" s="375">
        <f t="shared" si="2"/>
        <v>5.32</v>
      </c>
      <c r="D29" s="375">
        <f t="shared" si="2"/>
        <v>4.1579999999999995</v>
      </c>
      <c r="E29" s="375">
        <f t="shared" si="2"/>
        <v>0.21200000000000019</v>
      </c>
      <c r="F29" s="375">
        <f t="shared" si="2"/>
        <v>0</v>
      </c>
      <c r="G29" s="375">
        <f t="shared" si="2"/>
        <v>0</v>
      </c>
      <c r="H29" s="375">
        <f t="shared" si="2"/>
        <v>0</v>
      </c>
      <c r="I29" s="375">
        <f t="shared" si="2"/>
        <v>0</v>
      </c>
      <c r="J29" s="375">
        <f t="shared" si="2"/>
        <v>0</v>
      </c>
      <c r="K29" s="375">
        <f t="shared" si="2"/>
        <v>0</v>
      </c>
      <c r="L29" s="375">
        <f t="shared" si="2"/>
        <v>0</v>
      </c>
      <c r="M29" s="375">
        <f t="shared" si="2"/>
        <v>0</v>
      </c>
      <c r="N29" s="375">
        <f t="shared" si="2"/>
        <v>0</v>
      </c>
      <c r="O29" s="375">
        <f t="shared" si="2"/>
        <v>0</v>
      </c>
      <c r="P29" s="375">
        <f t="shared" si="2"/>
        <v>0</v>
      </c>
      <c r="Q29" s="375">
        <f t="shared" si="2"/>
        <v>0</v>
      </c>
      <c r="R29" s="375">
        <f t="shared" si="2"/>
        <v>0</v>
      </c>
      <c r="S29" s="375">
        <f t="shared" si="2"/>
        <v>0</v>
      </c>
      <c r="T29" s="375">
        <f t="shared" si="2"/>
        <v>0</v>
      </c>
      <c r="U29" s="375">
        <f t="shared" si="2"/>
        <v>0</v>
      </c>
      <c r="V29" s="375">
        <f t="shared" si="2"/>
        <v>0</v>
      </c>
      <c r="W29" s="375">
        <f t="shared" si="2"/>
        <v>0</v>
      </c>
      <c r="X29" s="375">
        <f t="shared" si="2"/>
        <v>0</v>
      </c>
      <c r="Y29" s="369"/>
    </row>
    <row r="30" spans="1:25" ht="13.5" thickBot="1" x14ac:dyDescent="0.25">
      <c r="A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thickBot="1" x14ac:dyDescent="0.25">
      <c r="A31" s="361" t="s">
        <v>309</v>
      </c>
      <c r="B31" s="359">
        <f>ROW(A31)</f>
        <v>31</v>
      </c>
      <c r="C31" s="363" t="s">
        <v>116</v>
      </c>
      <c r="D31" s="353">
        <f>SUM(B34:Y34)</f>
        <v>13.814500000000002</v>
      </c>
      <c r="E31" s="363" t="s">
        <v>115</v>
      </c>
      <c r="F31" s="399">
        <f>D31/g/J31</f>
        <v>3.1293464718541175</v>
      </c>
      <c r="G31" s="363" t="s">
        <v>57</v>
      </c>
      <c r="H31" s="64">
        <v>0.45</v>
      </c>
      <c r="I31" s="363" t="s">
        <v>270</v>
      </c>
      <c r="J31" s="355">
        <f>H31-L31</f>
        <v>0.45</v>
      </c>
      <c r="K31" s="363" t="s">
        <v>271</v>
      </c>
      <c r="L31" s="64">
        <v>0</v>
      </c>
      <c r="M31" s="363" t="s">
        <v>58</v>
      </c>
      <c r="N31" s="65">
        <f>0.3*R31</f>
        <v>90</v>
      </c>
      <c r="O31" s="363" t="s">
        <v>60</v>
      </c>
      <c r="P31" s="65">
        <v>150</v>
      </c>
      <c r="Q31" s="363" t="s">
        <v>61</v>
      </c>
      <c r="R31" s="65">
        <v>300</v>
      </c>
      <c r="S31" s="363" t="s">
        <v>62</v>
      </c>
      <c r="T31" s="65">
        <v>90</v>
      </c>
      <c r="U31" s="363" t="s">
        <v>55</v>
      </c>
      <c r="V31" s="66" t="s">
        <v>275</v>
      </c>
      <c r="W31" s="12"/>
      <c r="X31" s="12"/>
      <c r="Y31" s="12"/>
    </row>
    <row r="32" spans="1:25" x14ac:dyDescent="0.2">
      <c r="A32" s="362" t="s">
        <v>33</v>
      </c>
      <c r="B32" s="370">
        <v>0</v>
      </c>
      <c r="C32" s="371">
        <v>1E-3</v>
      </c>
      <c r="D32" s="371">
        <v>0.02</v>
      </c>
      <c r="E32" s="371">
        <v>0.04</v>
      </c>
      <c r="F32" s="371">
        <v>6.0999999999999999E-2</v>
      </c>
      <c r="G32" s="371">
        <v>6.2E-2</v>
      </c>
      <c r="H32" s="371">
        <v>6.2E-2</v>
      </c>
      <c r="I32" s="371">
        <v>6.2E-2</v>
      </c>
      <c r="J32" s="371">
        <v>6.2E-2</v>
      </c>
      <c r="K32" s="371">
        <v>6.2E-2</v>
      </c>
      <c r="L32" s="371">
        <v>6.2E-2</v>
      </c>
      <c r="M32" s="371">
        <v>6.2E-2</v>
      </c>
      <c r="N32" s="371">
        <v>6.2E-2</v>
      </c>
      <c r="O32" s="371">
        <v>6.2E-2</v>
      </c>
      <c r="P32" s="371">
        <v>6.2E-2</v>
      </c>
      <c r="Q32" s="371">
        <v>6.2E-2</v>
      </c>
      <c r="R32" s="371">
        <v>6.2E-2</v>
      </c>
      <c r="S32" s="371">
        <v>6.2E-2</v>
      </c>
      <c r="T32" s="371">
        <v>6.2E-2</v>
      </c>
      <c r="U32" s="371">
        <v>6.2E-2</v>
      </c>
      <c r="V32" s="371">
        <v>6.2E-2</v>
      </c>
      <c r="W32" s="371">
        <v>6.2E-2</v>
      </c>
      <c r="X32" s="371">
        <v>6.2E-2</v>
      </c>
      <c r="Y32" s="381">
        <v>1000</v>
      </c>
    </row>
    <row r="33" spans="1:25" x14ac:dyDescent="0.2">
      <c r="A33" s="378" t="s">
        <v>34</v>
      </c>
      <c r="B33" s="372">
        <v>0</v>
      </c>
      <c r="C33" s="373">
        <v>310</v>
      </c>
      <c r="D33" s="373">
        <v>245</v>
      </c>
      <c r="E33" s="373">
        <v>200</v>
      </c>
      <c r="F33" s="373">
        <v>167</v>
      </c>
      <c r="G33" s="373">
        <v>0</v>
      </c>
      <c r="H33" s="373">
        <v>0</v>
      </c>
      <c r="I33" s="373">
        <v>0</v>
      </c>
      <c r="J33" s="373">
        <v>0</v>
      </c>
      <c r="K33" s="373">
        <v>0</v>
      </c>
      <c r="L33" s="373">
        <v>0</v>
      </c>
      <c r="M33" s="373">
        <v>0</v>
      </c>
      <c r="N33" s="373">
        <v>0</v>
      </c>
      <c r="O33" s="373">
        <v>0</v>
      </c>
      <c r="P33" s="373">
        <v>0</v>
      </c>
      <c r="Q33" s="373">
        <v>0</v>
      </c>
      <c r="R33" s="373">
        <v>0</v>
      </c>
      <c r="S33" s="373">
        <v>0</v>
      </c>
      <c r="T33" s="373">
        <v>0</v>
      </c>
      <c r="U33" s="373">
        <v>0</v>
      </c>
      <c r="V33" s="373">
        <v>0</v>
      </c>
      <c r="W33" s="373">
        <v>0</v>
      </c>
      <c r="X33" s="373">
        <v>0</v>
      </c>
      <c r="Y33" s="382">
        <v>0</v>
      </c>
    </row>
    <row r="34" spans="1:25" ht="13.5" thickBot="1" x14ac:dyDescent="0.25">
      <c r="A34" s="379" t="s">
        <v>117</v>
      </c>
      <c r="B34" s="374">
        <f t="shared" ref="B34:X34" si="3">(C33+B33)*(C32-B32)/2</f>
        <v>0.155</v>
      </c>
      <c r="C34" s="375">
        <f t="shared" si="3"/>
        <v>5.2725</v>
      </c>
      <c r="D34" s="375">
        <f t="shared" si="3"/>
        <v>4.45</v>
      </c>
      <c r="E34" s="375">
        <f t="shared" si="3"/>
        <v>3.8534999999999995</v>
      </c>
      <c r="F34" s="375">
        <f t="shared" si="3"/>
        <v>8.3500000000000074E-2</v>
      </c>
      <c r="G34" s="375">
        <f t="shared" si="3"/>
        <v>0</v>
      </c>
      <c r="H34" s="375">
        <f t="shared" si="3"/>
        <v>0</v>
      </c>
      <c r="I34" s="375">
        <f t="shared" si="3"/>
        <v>0</v>
      </c>
      <c r="J34" s="375">
        <f t="shared" si="3"/>
        <v>0</v>
      </c>
      <c r="K34" s="375">
        <f t="shared" si="3"/>
        <v>0</v>
      </c>
      <c r="L34" s="375">
        <f t="shared" si="3"/>
        <v>0</v>
      </c>
      <c r="M34" s="375">
        <f t="shared" si="3"/>
        <v>0</v>
      </c>
      <c r="N34" s="375">
        <f t="shared" si="3"/>
        <v>0</v>
      </c>
      <c r="O34" s="375">
        <f t="shared" si="3"/>
        <v>0</v>
      </c>
      <c r="P34" s="375">
        <f t="shared" si="3"/>
        <v>0</v>
      </c>
      <c r="Q34" s="375">
        <f t="shared" si="3"/>
        <v>0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0</v>
      </c>
      <c r="X34" s="375">
        <f t="shared" si="3"/>
        <v>0</v>
      </c>
      <c r="Y34" s="369"/>
    </row>
    <row r="35" spans="1:25" ht="13.5" thickBot="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thickBot="1" x14ac:dyDescent="0.25">
      <c r="A36" s="361" t="s">
        <v>310</v>
      </c>
      <c r="B36" s="359">
        <f>ROW(A36)</f>
        <v>36</v>
      </c>
      <c r="C36" s="363" t="s">
        <v>116</v>
      </c>
      <c r="D36" s="353">
        <f>SUM(B39:Y39)</f>
        <v>17.144499999999997</v>
      </c>
      <c r="E36" s="363" t="s">
        <v>115</v>
      </c>
      <c r="F36" s="399">
        <f>D36/g/J36</f>
        <v>2.9127590893645934</v>
      </c>
      <c r="G36" s="363" t="s">
        <v>57</v>
      </c>
      <c r="H36" s="64">
        <v>0.6</v>
      </c>
      <c r="I36" s="363" t="s">
        <v>270</v>
      </c>
      <c r="J36" s="355">
        <f>H36-L36</f>
        <v>0.6</v>
      </c>
      <c r="K36" s="363" t="s">
        <v>271</v>
      </c>
      <c r="L36" s="64">
        <v>0</v>
      </c>
      <c r="M36" s="363" t="s">
        <v>58</v>
      </c>
      <c r="N36" s="65">
        <f>0.4*R36</f>
        <v>120</v>
      </c>
      <c r="O36" s="363" t="s">
        <v>60</v>
      </c>
      <c r="P36" s="65">
        <v>150</v>
      </c>
      <c r="Q36" s="363" t="s">
        <v>61</v>
      </c>
      <c r="R36" s="65">
        <v>300</v>
      </c>
      <c r="S36" s="363" t="s">
        <v>62</v>
      </c>
      <c r="T36" s="65">
        <v>90</v>
      </c>
      <c r="U36" s="363" t="s">
        <v>55</v>
      </c>
      <c r="V36" s="66" t="s">
        <v>275</v>
      </c>
      <c r="W36" s="12"/>
      <c r="X36" s="12"/>
      <c r="Y36" s="12"/>
    </row>
    <row r="37" spans="1:25" x14ac:dyDescent="0.2">
      <c r="A37" s="362" t="s">
        <v>33</v>
      </c>
      <c r="B37" s="370">
        <v>0</v>
      </c>
      <c r="C37" s="371">
        <v>1E-3</v>
      </c>
      <c r="D37" s="371">
        <v>0.02</v>
      </c>
      <c r="E37" s="371">
        <v>0.04</v>
      </c>
      <c r="F37" s="371">
        <v>0.06</v>
      </c>
      <c r="G37" s="371">
        <v>0.08</v>
      </c>
      <c r="H37" s="371">
        <v>8.7999999999999995E-2</v>
      </c>
      <c r="I37" s="371">
        <v>8.8999999999999996E-2</v>
      </c>
      <c r="J37" s="371">
        <v>8.8999999999999996E-2</v>
      </c>
      <c r="K37" s="371">
        <v>8.8999999999999996E-2</v>
      </c>
      <c r="L37" s="371">
        <v>8.8999999999999996E-2</v>
      </c>
      <c r="M37" s="371">
        <v>8.8999999999999996E-2</v>
      </c>
      <c r="N37" s="371">
        <v>8.8999999999999996E-2</v>
      </c>
      <c r="O37" s="371">
        <v>8.8999999999999996E-2</v>
      </c>
      <c r="P37" s="371">
        <v>8.8999999999999996E-2</v>
      </c>
      <c r="Q37" s="371">
        <v>8.8999999999999996E-2</v>
      </c>
      <c r="R37" s="371">
        <v>8.8999999999999996E-2</v>
      </c>
      <c r="S37" s="371">
        <v>8.8999999999999996E-2</v>
      </c>
      <c r="T37" s="371">
        <v>8.8999999999999996E-2</v>
      </c>
      <c r="U37" s="371">
        <v>8.8999999999999996E-2</v>
      </c>
      <c r="V37" s="371">
        <v>8.8999999999999996E-2</v>
      </c>
      <c r="W37" s="371">
        <v>8.8999999999999996E-2</v>
      </c>
      <c r="X37" s="371">
        <v>8.8999999999999996E-2</v>
      </c>
      <c r="Y37" s="381">
        <v>1000</v>
      </c>
    </row>
    <row r="38" spans="1:25" x14ac:dyDescent="0.2">
      <c r="A38" s="378" t="s">
        <v>34</v>
      </c>
      <c r="B38" s="372">
        <v>0</v>
      </c>
      <c r="C38" s="373">
        <v>310</v>
      </c>
      <c r="D38" s="373">
        <v>240</v>
      </c>
      <c r="E38" s="373">
        <v>190</v>
      </c>
      <c r="F38" s="373">
        <v>157</v>
      </c>
      <c r="G38" s="373">
        <v>133</v>
      </c>
      <c r="H38" s="373">
        <v>125</v>
      </c>
      <c r="I38" s="373">
        <v>0</v>
      </c>
      <c r="J38" s="373">
        <v>0</v>
      </c>
      <c r="K38" s="373">
        <v>0</v>
      </c>
      <c r="L38" s="373">
        <v>0</v>
      </c>
      <c r="M38" s="373">
        <v>0</v>
      </c>
      <c r="N38" s="373">
        <v>0</v>
      </c>
      <c r="O38" s="373">
        <v>0</v>
      </c>
      <c r="P38" s="373">
        <v>0</v>
      </c>
      <c r="Q38" s="373">
        <v>0</v>
      </c>
      <c r="R38" s="373">
        <v>0</v>
      </c>
      <c r="S38" s="373">
        <v>0</v>
      </c>
      <c r="T38" s="373">
        <v>0</v>
      </c>
      <c r="U38" s="373">
        <v>0</v>
      </c>
      <c r="V38" s="373">
        <v>0</v>
      </c>
      <c r="W38" s="373">
        <v>0</v>
      </c>
      <c r="X38" s="373">
        <v>0</v>
      </c>
      <c r="Y38" s="382">
        <v>0</v>
      </c>
    </row>
    <row r="39" spans="1:25" ht="13.5" thickBot="1" x14ac:dyDescent="0.25">
      <c r="A39" s="379" t="s">
        <v>117</v>
      </c>
      <c r="B39" s="374">
        <f t="shared" ref="B39:X39" si="4">(C38+B38)*(C37-B37)/2</f>
        <v>0.155</v>
      </c>
      <c r="C39" s="375">
        <f t="shared" si="4"/>
        <v>5.2249999999999996</v>
      </c>
      <c r="D39" s="375">
        <f t="shared" si="4"/>
        <v>4.3</v>
      </c>
      <c r="E39" s="375">
        <f t="shared" si="4"/>
        <v>3.4699999999999993</v>
      </c>
      <c r="F39" s="375">
        <f t="shared" si="4"/>
        <v>2.9000000000000004</v>
      </c>
      <c r="G39" s="375">
        <f t="shared" si="4"/>
        <v>1.0319999999999991</v>
      </c>
      <c r="H39" s="375">
        <f t="shared" si="4"/>
        <v>6.2500000000000056E-2</v>
      </c>
      <c r="I39" s="375">
        <f t="shared" si="4"/>
        <v>0</v>
      </c>
      <c r="J39" s="375">
        <f t="shared" si="4"/>
        <v>0</v>
      </c>
      <c r="K39" s="375">
        <f t="shared" si="4"/>
        <v>0</v>
      </c>
      <c r="L39" s="375">
        <f t="shared" si="4"/>
        <v>0</v>
      </c>
      <c r="M39" s="375">
        <f t="shared" si="4"/>
        <v>0</v>
      </c>
      <c r="N39" s="375">
        <f t="shared" si="4"/>
        <v>0</v>
      </c>
      <c r="O39" s="375">
        <f t="shared" si="4"/>
        <v>0</v>
      </c>
      <c r="P39" s="375">
        <f t="shared" si="4"/>
        <v>0</v>
      </c>
      <c r="Q39" s="375">
        <f t="shared" si="4"/>
        <v>0</v>
      </c>
      <c r="R39" s="375">
        <f t="shared" si="4"/>
        <v>0</v>
      </c>
      <c r="S39" s="375">
        <f t="shared" si="4"/>
        <v>0</v>
      </c>
      <c r="T39" s="375">
        <f t="shared" si="4"/>
        <v>0</v>
      </c>
      <c r="U39" s="375">
        <f t="shared" si="4"/>
        <v>0</v>
      </c>
      <c r="V39" s="375">
        <f t="shared" si="4"/>
        <v>0</v>
      </c>
      <c r="W39" s="375">
        <f t="shared" si="4"/>
        <v>0</v>
      </c>
      <c r="X39" s="375">
        <f t="shared" si="4"/>
        <v>0</v>
      </c>
      <c r="Y39" s="369"/>
    </row>
    <row r="40" spans="1:25" ht="13.5" thickBot="1" x14ac:dyDescent="0.25">
      <c r="A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thickBot="1" x14ac:dyDescent="0.25">
      <c r="A41" s="361" t="s">
        <v>311</v>
      </c>
      <c r="B41" s="359">
        <f>ROW(A41)</f>
        <v>41</v>
      </c>
      <c r="C41" s="363" t="s">
        <v>116</v>
      </c>
      <c r="D41" s="353">
        <f>SUM(B44:Y44)</f>
        <v>19.415000000000003</v>
      </c>
      <c r="E41" s="363" t="s">
        <v>115</v>
      </c>
      <c r="F41" s="399">
        <f>D41/g/J41</f>
        <v>2.6388039415562354</v>
      </c>
      <c r="G41" s="363" t="s">
        <v>57</v>
      </c>
      <c r="H41" s="64">
        <v>0.75</v>
      </c>
      <c r="I41" s="363" t="s">
        <v>270</v>
      </c>
      <c r="J41" s="355">
        <f>H41-L41</f>
        <v>0.75</v>
      </c>
      <c r="K41" s="363" t="s">
        <v>271</v>
      </c>
      <c r="L41" s="64">
        <v>0</v>
      </c>
      <c r="M41" s="363" t="s">
        <v>58</v>
      </c>
      <c r="N41" s="65">
        <f>0.5*R41</f>
        <v>150</v>
      </c>
      <c r="O41" s="363" t="s">
        <v>60</v>
      </c>
      <c r="P41" s="65">
        <v>150</v>
      </c>
      <c r="Q41" s="363" t="s">
        <v>61</v>
      </c>
      <c r="R41" s="65">
        <v>300</v>
      </c>
      <c r="S41" s="363" t="s">
        <v>62</v>
      </c>
      <c r="T41" s="65">
        <v>90</v>
      </c>
      <c r="U41" s="363" t="s">
        <v>55</v>
      </c>
      <c r="V41" s="66" t="s">
        <v>275</v>
      </c>
      <c r="W41" s="12"/>
      <c r="X41" s="12"/>
      <c r="Y41" s="12"/>
    </row>
    <row r="42" spans="1:25" x14ac:dyDescent="0.2">
      <c r="A42" s="362" t="s">
        <v>33</v>
      </c>
      <c r="B42" s="370">
        <v>0</v>
      </c>
      <c r="C42" s="371">
        <v>1E-3</v>
      </c>
      <c r="D42" s="371">
        <v>0.02</v>
      </c>
      <c r="E42" s="371">
        <v>0.04</v>
      </c>
      <c r="F42" s="371">
        <v>0.06</v>
      </c>
      <c r="G42" s="371">
        <v>0.08</v>
      </c>
      <c r="H42" s="371">
        <v>0.1</v>
      </c>
      <c r="I42" s="371">
        <v>0.123</v>
      </c>
      <c r="J42" s="371">
        <v>0.124</v>
      </c>
      <c r="K42" s="371">
        <v>0.124</v>
      </c>
      <c r="L42" s="371">
        <v>0.124</v>
      </c>
      <c r="M42" s="371">
        <v>0.124</v>
      </c>
      <c r="N42" s="371">
        <v>0.124</v>
      </c>
      <c r="O42" s="371">
        <v>0.124</v>
      </c>
      <c r="P42" s="371">
        <v>0.124</v>
      </c>
      <c r="Q42" s="371">
        <v>0.124</v>
      </c>
      <c r="R42" s="371">
        <v>0.124</v>
      </c>
      <c r="S42" s="371">
        <v>0.124</v>
      </c>
      <c r="T42" s="371">
        <v>0.124</v>
      </c>
      <c r="U42" s="371">
        <v>0.124</v>
      </c>
      <c r="V42" s="371">
        <v>0.124</v>
      </c>
      <c r="W42" s="371">
        <v>0.124</v>
      </c>
      <c r="X42" s="371">
        <v>0.124</v>
      </c>
      <c r="Y42" s="381">
        <v>1000</v>
      </c>
    </row>
    <row r="43" spans="1:25" x14ac:dyDescent="0.2">
      <c r="A43" s="378" t="s">
        <v>34</v>
      </c>
      <c r="B43" s="372">
        <v>0</v>
      </c>
      <c r="C43" s="373">
        <v>310</v>
      </c>
      <c r="D43" s="373">
        <v>230</v>
      </c>
      <c r="E43" s="373">
        <v>175</v>
      </c>
      <c r="F43" s="373">
        <v>140</v>
      </c>
      <c r="G43" s="373">
        <v>118</v>
      </c>
      <c r="H43" s="373">
        <v>100</v>
      </c>
      <c r="I43" s="373">
        <v>85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82">
        <v>0</v>
      </c>
    </row>
    <row r="44" spans="1:25" ht="13.5" thickBot="1" x14ac:dyDescent="0.25">
      <c r="A44" s="379" t="s">
        <v>117</v>
      </c>
      <c r="B44" s="374">
        <f t="shared" ref="B44:X44" si="5">(C43+B43)*(C42-B42)/2</f>
        <v>0.155</v>
      </c>
      <c r="C44" s="375">
        <f t="shared" si="5"/>
        <v>5.13</v>
      </c>
      <c r="D44" s="375">
        <f t="shared" si="5"/>
        <v>4.05</v>
      </c>
      <c r="E44" s="375">
        <f t="shared" si="5"/>
        <v>3.1499999999999995</v>
      </c>
      <c r="F44" s="375">
        <f t="shared" si="5"/>
        <v>2.5800000000000005</v>
      </c>
      <c r="G44" s="375">
        <f t="shared" si="5"/>
        <v>2.1800000000000006</v>
      </c>
      <c r="H44" s="375">
        <f t="shared" si="5"/>
        <v>2.1274999999999995</v>
      </c>
      <c r="I44" s="375">
        <f t="shared" si="5"/>
        <v>4.2500000000000038E-2</v>
      </c>
      <c r="J44" s="375">
        <f t="shared" si="5"/>
        <v>0</v>
      </c>
      <c r="K44" s="375">
        <f t="shared" si="5"/>
        <v>0</v>
      </c>
      <c r="L44" s="375">
        <f t="shared" si="5"/>
        <v>0</v>
      </c>
      <c r="M44" s="375">
        <f t="shared" si="5"/>
        <v>0</v>
      </c>
      <c r="N44" s="375">
        <f t="shared" si="5"/>
        <v>0</v>
      </c>
      <c r="O44" s="375">
        <f t="shared" si="5"/>
        <v>0</v>
      </c>
      <c r="P44" s="375">
        <f t="shared" si="5"/>
        <v>0</v>
      </c>
      <c r="Q44" s="375">
        <f t="shared" si="5"/>
        <v>0</v>
      </c>
      <c r="R44" s="375">
        <f t="shared" si="5"/>
        <v>0</v>
      </c>
      <c r="S44" s="375">
        <f t="shared" si="5"/>
        <v>0</v>
      </c>
      <c r="T44" s="375">
        <f t="shared" si="5"/>
        <v>0</v>
      </c>
      <c r="U44" s="375">
        <f t="shared" si="5"/>
        <v>0</v>
      </c>
      <c r="V44" s="375">
        <f t="shared" si="5"/>
        <v>0</v>
      </c>
      <c r="W44" s="375">
        <f t="shared" si="5"/>
        <v>0</v>
      </c>
      <c r="X44" s="375">
        <f t="shared" si="5"/>
        <v>0</v>
      </c>
      <c r="Y44" s="369"/>
    </row>
    <row r="45" spans="1:25" ht="13.5" thickBot="1" x14ac:dyDescent="0.25"/>
    <row r="46" spans="1:25" ht="13.5" thickBot="1" x14ac:dyDescent="0.25">
      <c r="A46" s="361" t="s">
        <v>276</v>
      </c>
      <c r="B46" s="359">
        <f>ROW(A46)</f>
        <v>46</v>
      </c>
      <c r="C46" s="363" t="s">
        <v>116</v>
      </c>
      <c r="D46" s="353">
        <f>SUM(B49:Y49)</f>
        <v>12.8695</v>
      </c>
      <c r="E46" s="363" t="s">
        <v>115</v>
      </c>
      <c r="F46" s="399">
        <f>D46/g/J46</f>
        <v>3.2796890927624869</v>
      </c>
      <c r="G46" s="363" t="s">
        <v>57</v>
      </c>
      <c r="H46" s="64">
        <v>0.5</v>
      </c>
      <c r="I46" s="363" t="s">
        <v>270</v>
      </c>
      <c r="J46" s="355">
        <f>H46-L46</f>
        <v>0.4</v>
      </c>
      <c r="K46" s="363" t="s">
        <v>271</v>
      </c>
      <c r="L46" s="64">
        <v>0.1</v>
      </c>
      <c r="M46" s="363" t="s">
        <v>58</v>
      </c>
      <c r="N46" s="65">
        <f>0.2*R46</f>
        <v>60</v>
      </c>
      <c r="O46" s="363" t="s">
        <v>60</v>
      </c>
      <c r="P46" s="65">
        <v>150</v>
      </c>
      <c r="Q46" s="363" t="s">
        <v>61</v>
      </c>
      <c r="R46" s="65">
        <v>300</v>
      </c>
      <c r="S46" s="363" t="s">
        <v>62</v>
      </c>
      <c r="T46" s="65">
        <v>98</v>
      </c>
      <c r="U46" s="363" t="s">
        <v>55</v>
      </c>
      <c r="V46" s="66" t="s">
        <v>275</v>
      </c>
      <c r="W46" s="12"/>
      <c r="X46" s="12"/>
      <c r="Y46" s="12"/>
    </row>
    <row r="47" spans="1:25" x14ac:dyDescent="0.2">
      <c r="A47" s="362" t="s">
        <v>33</v>
      </c>
      <c r="B47" s="370">
        <v>0</v>
      </c>
      <c r="C47" s="371">
        <v>1E-3</v>
      </c>
      <c r="D47" s="371">
        <v>0.02</v>
      </c>
      <c r="E47" s="371">
        <v>0.04</v>
      </c>
      <c r="F47" s="371">
        <v>0.05</v>
      </c>
      <c r="G47" s="371">
        <v>5.0999999999999997E-2</v>
      </c>
      <c r="H47" s="371">
        <v>5.0999999999999997E-2</v>
      </c>
      <c r="I47" s="371">
        <v>5.0999999999999997E-2</v>
      </c>
      <c r="J47" s="371">
        <v>5.0999999999999997E-2</v>
      </c>
      <c r="K47" s="371">
        <v>5.0999999999999997E-2</v>
      </c>
      <c r="L47" s="371">
        <v>5.0999999999999997E-2</v>
      </c>
      <c r="M47" s="371">
        <v>5.0999999999999997E-2</v>
      </c>
      <c r="N47" s="371">
        <v>5.0999999999999997E-2</v>
      </c>
      <c r="O47" s="371">
        <v>5.0999999999999997E-2</v>
      </c>
      <c r="P47" s="371">
        <v>5.0999999999999997E-2</v>
      </c>
      <c r="Q47" s="371">
        <v>5.0999999999999997E-2</v>
      </c>
      <c r="R47" s="371">
        <v>5.0999999999999997E-2</v>
      </c>
      <c r="S47" s="371">
        <v>5.0999999999999997E-2</v>
      </c>
      <c r="T47" s="371">
        <v>5.0999999999999997E-2</v>
      </c>
      <c r="U47" s="371">
        <v>5.0999999999999997E-2</v>
      </c>
      <c r="V47" s="371">
        <v>5.0999999999999997E-2</v>
      </c>
      <c r="W47" s="371">
        <v>5.0999999999999997E-2</v>
      </c>
      <c r="X47" s="371">
        <v>5.0999999999999997E-2</v>
      </c>
      <c r="Y47" s="381">
        <v>1000</v>
      </c>
    </row>
    <row r="48" spans="1:25" x14ac:dyDescent="0.2">
      <c r="A48" s="378" t="s">
        <v>34</v>
      </c>
      <c r="B48" s="372">
        <v>0</v>
      </c>
      <c r="C48" s="373">
        <v>310</v>
      </c>
      <c r="D48" s="373">
        <v>264</v>
      </c>
      <c r="E48" s="373">
        <v>230</v>
      </c>
      <c r="F48" s="373">
        <v>213</v>
      </c>
      <c r="G48" s="373">
        <v>0</v>
      </c>
      <c r="H48" s="373">
        <v>0</v>
      </c>
      <c r="I48" s="373">
        <v>0</v>
      </c>
      <c r="J48" s="373">
        <v>0</v>
      </c>
      <c r="K48" s="373">
        <v>0</v>
      </c>
      <c r="L48" s="373">
        <v>0</v>
      </c>
      <c r="M48" s="373">
        <v>0</v>
      </c>
      <c r="N48" s="373">
        <v>0</v>
      </c>
      <c r="O48" s="373">
        <v>0</v>
      </c>
      <c r="P48" s="373">
        <v>0</v>
      </c>
      <c r="Q48" s="373">
        <v>0</v>
      </c>
      <c r="R48" s="373">
        <v>0</v>
      </c>
      <c r="S48" s="373">
        <v>0</v>
      </c>
      <c r="T48" s="373">
        <v>0</v>
      </c>
      <c r="U48" s="373">
        <v>0</v>
      </c>
      <c r="V48" s="373">
        <v>0</v>
      </c>
      <c r="W48" s="373">
        <v>0</v>
      </c>
      <c r="X48" s="373">
        <v>0</v>
      </c>
      <c r="Y48" s="382">
        <v>0</v>
      </c>
    </row>
    <row r="49" spans="1:25" ht="13.5" thickBot="1" x14ac:dyDescent="0.25">
      <c r="A49" s="379" t="s">
        <v>117</v>
      </c>
      <c r="B49" s="374">
        <f t="shared" ref="B49:X49" si="6">(C48+B48)*(C47-B47)/2</f>
        <v>0.155</v>
      </c>
      <c r="C49" s="375">
        <f t="shared" si="6"/>
        <v>5.4530000000000003</v>
      </c>
      <c r="D49" s="375">
        <f t="shared" si="6"/>
        <v>4.9400000000000004</v>
      </c>
      <c r="E49" s="375">
        <f t="shared" si="6"/>
        <v>2.2150000000000003</v>
      </c>
      <c r="F49" s="375">
        <f t="shared" si="6"/>
        <v>0.10649999999999936</v>
      </c>
      <c r="G49" s="375">
        <f t="shared" si="6"/>
        <v>0</v>
      </c>
      <c r="H49" s="375">
        <f t="shared" si="6"/>
        <v>0</v>
      </c>
      <c r="I49" s="375">
        <f t="shared" si="6"/>
        <v>0</v>
      </c>
      <c r="J49" s="375">
        <f t="shared" si="6"/>
        <v>0</v>
      </c>
      <c r="K49" s="375">
        <f t="shared" si="6"/>
        <v>0</v>
      </c>
      <c r="L49" s="375">
        <f t="shared" si="6"/>
        <v>0</v>
      </c>
      <c r="M49" s="375">
        <f t="shared" si="6"/>
        <v>0</v>
      </c>
      <c r="N49" s="375">
        <f t="shared" si="6"/>
        <v>0</v>
      </c>
      <c r="O49" s="375">
        <f t="shared" si="6"/>
        <v>0</v>
      </c>
      <c r="P49" s="375">
        <f t="shared" si="6"/>
        <v>0</v>
      </c>
      <c r="Q49" s="375">
        <f t="shared" si="6"/>
        <v>0</v>
      </c>
      <c r="R49" s="375">
        <f t="shared" si="6"/>
        <v>0</v>
      </c>
      <c r="S49" s="375">
        <f t="shared" si="6"/>
        <v>0</v>
      </c>
      <c r="T49" s="375">
        <f t="shared" si="6"/>
        <v>0</v>
      </c>
      <c r="U49" s="375">
        <f t="shared" si="6"/>
        <v>0</v>
      </c>
      <c r="V49" s="375">
        <f t="shared" si="6"/>
        <v>0</v>
      </c>
      <c r="W49" s="375">
        <f t="shared" si="6"/>
        <v>0</v>
      </c>
      <c r="X49" s="375">
        <f t="shared" si="6"/>
        <v>0</v>
      </c>
      <c r="Y49" s="369"/>
    </row>
    <row r="50" spans="1:25" ht="13.5" thickBot="1" x14ac:dyDescent="0.25">
      <c r="A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thickBot="1" x14ac:dyDescent="0.25">
      <c r="A51" s="361" t="s">
        <v>277</v>
      </c>
      <c r="B51" s="359">
        <f>ROW(A51)</f>
        <v>51</v>
      </c>
      <c r="C51" s="363" t="s">
        <v>116</v>
      </c>
      <c r="D51" s="353">
        <f>SUM(B54:Y54)</f>
        <v>18.123500000000003</v>
      </c>
      <c r="E51" s="363" t="s">
        <v>115</v>
      </c>
      <c r="F51" s="399">
        <f>D51/g/J51</f>
        <v>3.0790859667006463</v>
      </c>
      <c r="G51" s="363" t="s">
        <v>57</v>
      </c>
      <c r="H51" s="64">
        <v>0.7</v>
      </c>
      <c r="I51" s="363" t="s">
        <v>270</v>
      </c>
      <c r="J51" s="355">
        <f>H51-L51</f>
        <v>0.6</v>
      </c>
      <c r="K51" s="363" t="s">
        <v>271</v>
      </c>
      <c r="L51" s="64">
        <v>0.1</v>
      </c>
      <c r="M51" s="363" t="s">
        <v>58</v>
      </c>
      <c r="N51" s="65">
        <f>0.3*R51</f>
        <v>90</v>
      </c>
      <c r="O51" s="363" t="s">
        <v>60</v>
      </c>
      <c r="P51" s="65">
        <v>150</v>
      </c>
      <c r="Q51" s="363" t="s">
        <v>61</v>
      </c>
      <c r="R51" s="65">
        <v>300</v>
      </c>
      <c r="S51" s="363" t="s">
        <v>62</v>
      </c>
      <c r="T51" s="65">
        <v>98</v>
      </c>
      <c r="U51" s="363" t="s">
        <v>55</v>
      </c>
      <c r="V51" s="66" t="s">
        <v>275</v>
      </c>
      <c r="W51" s="12"/>
      <c r="X51" s="12"/>
      <c r="Y51" s="12"/>
    </row>
    <row r="52" spans="1:25" x14ac:dyDescent="0.2">
      <c r="A52" s="362" t="s">
        <v>33</v>
      </c>
      <c r="B52" s="370">
        <v>0</v>
      </c>
      <c r="C52" s="371">
        <v>1E-3</v>
      </c>
      <c r="D52" s="371">
        <v>0.02</v>
      </c>
      <c r="E52" s="371">
        <v>0.04</v>
      </c>
      <c r="F52" s="371">
        <v>0.06</v>
      </c>
      <c r="G52" s="371">
        <v>0.08</v>
      </c>
      <c r="H52" s="371">
        <v>8.1000000000000003E-2</v>
      </c>
      <c r="I52" s="371">
        <v>8.1000000000000003E-2</v>
      </c>
      <c r="J52" s="371">
        <v>8.1000000000000003E-2</v>
      </c>
      <c r="K52" s="371">
        <v>8.1000000000000003E-2</v>
      </c>
      <c r="L52" s="371">
        <v>8.1000000000000003E-2</v>
      </c>
      <c r="M52" s="371">
        <v>8.1000000000000003E-2</v>
      </c>
      <c r="N52" s="371">
        <v>8.1000000000000003E-2</v>
      </c>
      <c r="O52" s="371">
        <v>8.1000000000000003E-2</v>
      </c>
      <c r="P52" s="371">
        <v>8.1000000000000003E-2</v>
      </c>
      <c r="Q52" s="371">
        <v>8.1000000000000003E-2</v>
      </c>
      <c r="R52" s="371">
        <v>8.1000000000000003E-2</v>
      </c>
      <c r="S52" s="371">
        <v>8.1000000000000003E-2</v>
      </c>
      <c r="T52" s="371">
        <v>8.1000000000000003E-2</v>
      </c>
      <c r="U52" s="371">
        <v>8.1000000000000003E-2</v>
      </c>
      <c r="V52" s="371">
        <v>8.1000000000000003E-2</v>
      </c>
      <c r="W52" s="371">
        <v>8.1000000000000003E-2</v>
      </c>
      <c r="X52" s="371">
        <v>8.1000000000000003E-2</v>
      </c>
      <c r="Y52" s="381">
        <v>1000</v>
      </c>
    </row>
    <row r="53" spans="1:25" x14ac:dyDescent="0.2">
      <c r="A53" s="378" t="s">
        <v>34</v>
      </c>
      <c r="B53" s="372">
        <v>0</v>
      </c>
      <c r="C53" s="373">
        <v>310</v>
      </c>
      <c r="D53" s="373">
        <v>260</v>
      </c>
      <c r="E53" s="373">
        <v>220</v>
      </c>
      <c r="F53" s="373">
        <v>190</v>
      </c>
      <c r="G53" s="373">
        <v>167</v>
      </c>
      <c r="H53" s="373">
        <v>0</v>
      </c>
      <c r="I53" s="373">
        <v>0</v>
      </c>
      <c r="J53" s="373">
        <v>0</v>
      </c>
      <c r="K53" s="373">
        <v>0</v>
      </c>
      <c r="L53" s="373">
        <v>0</v>
      </c>
      <c r="M53" s="373">
        <v>0</v>
      </c>
      <c r="N53" s="373">
        <v>0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3">
        <v>0</v>
      </c>
      <c r="V53" s="373">
        <v>0</v>
      </c>
      <c r="W53" s="373">
        <v>0</v>
      </c>
      <c r="X53" s="373">
        <v>0</v>
      </c>
      <c r="Y53" s="382">
        <v>0</v>
      </c>
    </row>
    <row r="54" spans="1:25" ht="13.5" thickBot="1" x14ac:dyDescent="0.25">
      <c r="A54" s="379" t="s">
        <v>117</v>
      </c>
      <c r="B54" s="374">
        <f t="shared" ref="B54:X54" si="7">(C53+B53)*(C52-B52)/2</f>
        <v>0.155</v>
      </c>
      <c r="C54" s="375">
        <f t="shared" si="7"/>
        <v>5.415</v>
      </c>
      <c r="D54" s="375">
        <f t="shared" si="7"/>
        <v>4.8</v>
      </c>
      <c r="E54" s="375">
        <f t="shared" si="7"/>
        <v>4.0999999999999996</v>
      </c>
      <c r="F54" s="375">
        <f t="shared" si="7"/>
        <v>3.5700000000000007</v>
      </c>
      <c r="G54" s="375">
        <f t="shared" si="7"/>
        <v>8.3500000000000074E-2</v>
      </c>
      <c r="H54" s="375">
        <f t="shared" si="7"/>
        <v>0</v>
      </c>
      <c r="I54" s="375">
        <f t="shared" si="7"/>
        <v>0</v>
      </c>
      <c r="J54" s="375">
        <f t="shared" si="7"/>
        <v>0</v>
      </c>
      <c r="K54" s="375">
        <f t="shared" si="7"/>
        <v>0</v>
      </c>
      <c r="L54" s="375">
        <f t="shared" si="7"/>
        <v>0</v>
      </c>
      <c r="M54" s="375">
        <f t="shared" si="7"/>
        <v>0</v>
      </c>
      <c r="N54" s="375">
        <f t="shared" si="7"/>
        <v>0</v>
      </c>
      <c r="O54" s="375">
        <f t="shared" si="7"/>
        <v>0</v>
      </c>
      <c r="P54" s="375">
        <f t="shared" si="7"/>
        <v>0</v>
      </c>
      <c r="Q54" s="375">
        <f t="shared" si="7"/>
        <v>0</v>
      </c>
      <c r="R54" s="375">
        <f t="shared" si="7"/>
        <v>0</v>
      </c>
      <c r="S54" s="375">
        <f t="shared" si="7"/>
        <v>0</v>
      </c>
      <c r="T54" s="375">
        <f t="shared" si="7"/>
        <v>0</v>
      </c>
      <c r="U54" s="375">
        <f t="shared" si="7"/>
        <v>0</v>
      </c>
      <c r="V54" s="375">
        <f t="shared" si="7"/>
        <v>0</v>
      </c>
      <c r="W54" s="375">
        <f t="shared" si="7"/>
        <v>0</v>
      </c>
      <c r="X54" s="375">
        <f t="shared" si="7"/>
        <v>0</v>
      </c>
      <c r="Y54" s="369"/>
    </row>
    <row r="55" spans="1:25" ht="13.5" thickBo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thickBot="1" x14ac:dyDescent="0.25">
      <c r="A56" s="361" t="s">
        <v>278</v>
      </c>
      <c r="B56" s="359">
        <f>ROW(A56)</f>
        <v>56</v>
      </c>
      <c r="C56" s="363" t="s">
        <v>116</v>
      </c>
      <c r="D56" s="353">
        <f>SUM(B59:Y59)</f>
        <v>22.610000000000003</v>
      </c>
      <c r="E56" s="363" t="s">
        <v>115</v>
      </c>
      <c r="F56" s="399">
        <f>D56/g/J56</f>
        <v>2.88098878695209</v>
      </c>
      <c r="G56" s="363" t="s">
        <v>57</v>
      </c>
      <c r="H56" s="64">
        <v>0.9</v>
      </c>
      <c r="I56" s="363" t="s">
        <v>270</v>
      </c>
      <c r="J56" s="355">
        <f>H56-L56</f>
        <v>0.8</v>
      </c>
      <c r="K56" s="363" t="s">
        <v>271</v>
      </c>
      <c r="L56" s="64">
        <v>0.1</v>
      </c>
      <c r="M56" s="363" t="s">
        <v>58</v>
      </c>
      <c r="N56" s="65">
        <f>0.4*R56</f>
        <v>120</v>
      </c>
      <c r="O56" s="363" t="s">
        <v>60</v>
      </c>
      <c r="P56" s="65">
        <v>150</v>
      </c>
      <c r="Q56" s="363" t="s">
        <v>61</v>
      </c>
      <c r="R56" s="65">
        <v>300</v>
      </c>
      <c r="S56" s="363" t="s">
        <v>62</v>
      </c>
      <c r="T56" s="65">
        <v>98</v>
      </c>
      <c r="U56" s="363" t="s">
        <v>55</v>
      </c>
      <c r="V56" s="66" t="s">
        <v>275</v>
      </c>
      <c r="W56" s="12"/>
      <c r="X56" s="12"/>
      <c r="Y56" s="12"/>
    </row>
    <row r="57" spans="1:25" x14ac:dyDescent="0.2">
      <c r="A57" s="362" t="s">
        <v>33</v>
      </c>
      <c r="B57" s="370">
        <v>0</v>
      </c>
      <c r="C57" s="371">
        <v>1E-3</v>
      </c>
      <c r="D57" s="371">
        <v>0.02</v>
      </c>
      <c r="E57" s="371">
        <v>0.04</v>
      </c>
      <c r="F57" s="371">
        <v>0.06</v>
      </c>
      <c r="G57" s="371">
        <v>0.08</v>
      </c>
      <c r="H57" s="371">
        <v>0.1</v>
      </c>
      <c r="I57" s="371">
        <v>0.11700000000000001</v>
      </c>
      <c r="J57" s="371">
        <v>0.11799999999999999</v>
      </c>
      <c r="K57" s="371">
        <v>0.11799999999999999</v>
      </c>
      <c r="L57" s="371">
        <v>0.11799999999999999</v>
      </c>
      <c r="M57" s="371">
        <v>0.11799999999999999</v>
      </c>
      <c r="N57" s="371">
        <v>0.11799999999999999</v>
      </c>
      <c r="O57" s="371">
        <v>0.11799999999999999</v>
      </c>
      <c r="P57" s="371">
        <v>0.11799999999999999</v>
      </c>
      <c r="Q57" s="371">
        <v>0.11799999999999999</v>
      </c>
      <c r="R57" s="371">
        <v>0.11799999999999999</v>
      </c>
      <c r="S57" s="371">
        <v>0.11799999999999999</v>
      </c>
      <c r="T57" s="371">
        <v>0.11799999999999999</v>
      </c>
      <c r="U57" s="371">
        <v>0.11799999999999999</v>
      </c>
      <c r="V57" s="371">
        <v>0.11799999999999999</v>
      </c>
      <c r="W57" s="371">
        <v>0.11799999999999999</v>
      </c>
      <c r="X57" s="371">
        <v>0.11799999999999999</v>
      </c>
      <c r="Y57" s="381">
        <v>1000</v>
      </c>
    </row>
    <row r="58" spans="1:25" x14ac:dyDescent="0.2">
      <c r="A58" s="378" t="s">
        <v>34</v>
      </c>
      <c r="B58" s="372">
        <v>0</v>
      </c>
      <c r="C58" s="373">
        <v>310</v>
      </c>
      <c r="D58" s="373">
        <v>250</v>
      </c>
      <c r="E58" s="373">
        <v>210</v>
      </c>
      <c r="F58" s="373">
        <v>180</v>
      </c>
      <c r="G58" s="373">
        <v>156</v>
      </c>
      <c r="H58" s="373">
        <v>140</v>
      </c>
      <c r="I58" s="373">
        <v>125</v>
      </c>
      <c r="J58" s="373">
        <v>0</v>
      </c>
      <c r="K58" s="373">
        <v>0</v>
      </c>
      <c r="L58" s="373">
        <v>0</v>
      </c>
      <c r="M58" s="373">
        <v>0</v>
      </c>
      <c r="N58" s="373">
        <v>0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3">
        <v>0</v>
      </c>
      <c r="V58" s="373">
        <v>0</v>
      </c>
      <c r="W58" s="373">
        <v>0</v>
      </c>
      <c r="X58" s="373">
        <v>0</v>
      </c>
      <c r="Y58" s="382">
        <v>0</v>
      </c>
    </row>
    <row r="59" spans="1:25" ht="13.5" thickBot="1" x14ac:dyDescent="0.25">
      <c r="A59" s="379" t="s">
        <v>117</v>
      </c>
      <c r="B59" s="374">
        <f t="shared" ref="B59:X59" si="8">(C58+B58)*(C57-B57)/2</f>
        <v>0.155</v>
      </c>
      <c r="C59" s="375">
        <f t="shared" si="8"/>
        <v>5.32</v>
      </c>
      <c r="D59" s="375">
        <f t="shared" si="8"/>
        <v>4.6000000000000005</v>
      </c>
      <c r="E59" s="375">
        <f t="shared" si="8"/>
        <v>3.8999999999999995</v>
      </c>
      <c r="F59" s="375">
        <f t="shared" si="8"/>
        <v>3.3600000000000008</v>
      </c>
      <c r="G59" s="375">
        <f t="shared" si="8"/>
        <v>2.9600000000000004</v>
      </c>
      <c r="H59" s="375">
        <f t="shared" si="8"/>
        <v>2.2524999999999999</v>
      </c>
      <c r="I59" s="375">
        <f t="shared" si="8"/>
        <v>6.2499999999999188E-2</v>
      </c>
      <c r="J59" s="375">
        <f t="shared" si="8"/>
        <v>0</v>
      </c>
      <c r="K59" s="375">
        <f t="shared" si="8"/>
        <v>0</v>
      </c>
      <c r="L59" s="375">
        <f t="shared" si="8"/>
        <v>0</v>
      </c>
      <c r="M59" s="375">
        <f t="shared" si="8"/>
        <v>0</v>
      </c>
      <c r="N59" s="375">
        <f t="shared" si="8"/>
        <v>0</v>
      </c>
      <c r="O59" s="375">
        <f t="shared" si="8"/>
        <v>0</v>
      </c>
      <c r="P59" s="375">
        <f t="shared" si="8"/>
        <v>0</v>
      </c>
      <c r="Q59" s="375">
        <f t="shared" si="8"/>
        <v>0</v>
      </c>
      <c r="R59" s="375">
        <f t="shared" si="8"/>
        <v>0</v>
      </c>
      <c r="S59" s="375">
        <f t="shared" si="8"/>
        <v>0</v>
      </c>
      <c r="T59" s="375">
        <f t="shared" si="8"/>
        <v>0</v>
      </c>
      <c r="U59" s="375">
        <f t="shared" si="8"/>
        <v>0</v>
      </c>
      <c r="V59" s="375">
        <f t="shared" si="8"/>
        <v>0</v>
      </c>
      <c r="W59" s="375">
        <f t="shared" si="8"/>
        <v>0</v>
      </c>
      <c r="X59" s="375">
        <f t="shared" si="8"/>
        <v>0</v>
      </c>
      <c r="Y59" s="369"/>
    </row>
    <row r="60" spans="1:25" ht="13.5" thickBot="1" x14ac:dyDescent="0.25">
      <c r="A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thickBot="1" x14ac:dyDescent="0.25">
      <c r="A61" s="361" t="s">
        <v>279</v>
      </c>
      <c r="B61" s="359">
        <f>ROW(A61)</f>
        <v>61</v>
      </c>
      <c r="C61" s="363" t="s">
        <v>116</v>
      </c>
      <c r="D61" s="353">
        <f>SUM(B64:Y64)</f>
        <v>25.874000000000006</v>
      </c>
      <c r="E61" s="363" t="s">
        <v>115</v>
      </c>
      <c r="F61" s="399">
        <f>D61/g/J61</f>
        <v>2.6375127420998985</v>
      </c>
      <c r="G61" s="363" t="s">
        <v>57</v>
      </c>
      <c r="H61" s="64">
        <v>1.1000000000000001</v>
      </c>
      <c r="I61" s="363" t="s">
        <v>270</v>
      </c>
      <c r="J61" s="355">
        <f>H61-L61</f>
        <v>1</v>
      </c>
      <c r="K61" s="363" t="s">
        <v>271</v>
      </c>
      <c r="L61" s="64">
        <v>0.1</v>
      </c>
      <c r="M61" s="363" t="s">
        <v>58</v>
      </c>
      <c r="N61" s="65">
        <f>0.5*R61</f>
        <v>150</v>
      </c>
      <c r="O61" s="363" t="s">
        <v>60</v>
      </c>
      <c r="P61" s="65">
        <v>150</v>
      </c>
      <c r="Q61" s="363" t="s">
        <v>61</v>
      </c>
      <c r="R61" s="65">
        <v>300</v>
      </c>
      <c r="S61" s="363" t="s">
        <v>62</v>
      </c>
      <c r="T61" s="65">
        <v>98</v>
      </c>
      <c r="U61" s="363" t="s">
        <v>55</v>
      </c>
      <c r="V61" s="66" t="s">
        <v>275</v>
      </c>
      <c r="W61" s="12"/>
      <c r="X61" s="12"/>
      <c r="Y61" s="12"/>
    </row>
    <row r="62" spans="1:25" x14ac:dyDescent="0.2">
      <c r="A62" s="362" t="s">
        <v>33</v>
      </c>
      <c r="B62" s="370">
        <v>0</v>
      </c>
      <c r="C62" s="371">
        <v>1E-3</v>
      </c>
      <c r="D62" s="371">
        <v>0.02</v>
      </c>
      <c r="E62" s="371">
        <v>0.04</v>
      </c>
      <c r="F62" s="371">
        <v>0.06</v>
      </c>
      <c r="G62" s="371">
        <v>0.08</v>
      </c>
      <c r="H62" s="371">
        <v>0.1</v>
      </c>
      <c r="I62" s="371">
        <v>0.12</v>
      </c>
      <c r="J62" s="371">
        <v>0.14000000000000001</v>
      </c>
      <c r="K62" s="371">
        <v>0.16400000000000001</v>
      </c>
      <c r="L62" s="371">
        <v>0.16500000000000001</v>
      </c>
      <c r="M62" s="371">
        <v>0.16500000000000001</v>
      </c>
      <c r="N62" s="371">
        <v>0.16500000000000001</v>
      </c>
      <c r="O62" s="371">
        <v>0.16500000000000001</v>
      </c>
      <c r="P62" s="371">
        <v>0.16500000000000001</v>
      </c>
      <c r="Q62" s="371">
        <v>0.16500000000000001</v>
      </c>
      <c r="R62" s="371">
        <v>0.16500000000000001</v>
      </c>
      <c r="S62" s="371">
        <v>0.16500000000000001</v>
      </c>
      <c r="T62" s="371">
        <v>0.16500000000000001</v>
      </c>
      <c r="U62" s="371">
        <v>0.16500000000000001</v>
      </c>
      <c r="V62" s="371">
        <v>0.16500000000000001</v>
      </c>
      <c r="W62" s="371">
        <v>0.16500000000000001</v>
      </c>
      <c r="X62" s="371">
        <v>0.16500000000000001</v>
      </c>
      <c r="Y62" s="381">
        <v>1000</v>
      </c>
    </row>
    <row r="63" spans="1:25" x14ac:dyDescent="0.2">
      <c r="A63" s="378" t="s">
        <v>34</v>
      </c>
      <c r="B63" s="372">
        <v>0</v>
      </c>
      <c r="C63" s="373">
        <v>310</v>
      </c>
      <c r="D63" s="373">
        <v>245</v>
      </c>
      <c r="E63" s="373">
        <v>200</v>
      </c>
      <c r="F63" s="373">
        <v>165</v>
      </c>
      <c r="G63" s="373">
        <v>143</v>
      </c>
      <c r="H63" s="373">
        <v>124</v>
      </c>
      <c r="I63" s="373">
        <v>108</v>
      </c>
      <c r="J63" s="373">
        <v>97</v>
      </c>
      <c r="K63" s="373">
        <v>85</v>
      </c>
      <c r="L63" s="373">
        <v>0</v>
      </c>
      <c r="M63" s="373">
        <v>0</v>
      </c>
      <c r="N63" s="373">
        <v>0</v>
      </c>
      <c r="O63" s="373">
        <v>0</v>
      </c>
      <c r="P63" s="373">
        <v>0</v>
      </c>
      <c r="Q63" s="373">
        <v>0</v>
      </c>
      <c r="R63" s="373">
        <v>0</v>
      </c>
      <c r="S63" s="373">
        <v>0</v>
      </c>
      <c r="T63" s="373">
        <v>0</v>
      </c>
      <c r="U63" s="373">
        <v>0</v>
      </c>
      <c r="V63" s="373">
        <v>0</v>
      </c>
      <c r="W63" s="373">
        <v>0</v>
      </c>
      <c r="X63" s="373">
        <v>0</v>
      </c>
      <c r="Y63" s="382">
        <v>0</v>
      </c>
    </row>
    <row r="64" spans="1:25" ht="13.5" thickBot="1" x14ac:dyDescent="0.25">
      <c r="A64" s="379" t="s">
        <v>117</v>
      </c>
      <c r="B64" s="374">
        <f t="shared" ref="B64:X64" si="9">(C63+B63)*(C62-B62)/2</f>
        <v>0.155</v>
      </c>
      <c r="C64" s="375">
        <f t="shared" si="9"/>
        <v>5.2725</v>
      </c>
      <c r="D64" s="375">
        <f t="shared" si="9"/>
        <v>4.45</v>
      </c>
      <c r="E64" s="375">
        <f t="shared" si="9"/>
        <v>3.6499999999999995</v>
      </c>
      <c r="F64" s="375">
        <f t="shared" si="9"/>
        <v>3.0800000000000005</v>
      </c>
      <c r="G64" s="375">
        <f t="shared" si="9"/>
        <v>2.6700000000000004</v>
      </c>
      <c r="H64" s="375">
        <f t="shared" si="9"/>
        <v>2.319999999999999</v>
      </c>
      <c r="I64" s="375">
        <f t="shared" si="9"/>
        <v>2.0500000000000016</v>
      </c>
      <c r="J64" s="375">
        <f t="shared" si="9"/>
        <v>2.1839999999999993</v>
      </c>
      <c r="K64" s="375">
        <f t="shared" si="9"/>
        <v>4.2500000000000038E-2</v>
      </c>
      <c r="L64" s="375">
        <f t="shared" si="9"/>
        <v>0</v>
      </c>
      <c r="M64" s="375">
        <f t="shared" si="9"/>
        <v>0</v>
      </c>
      <c r="N64" s="375">
        <f t="shared" si="9"/>
        <v>0</v>
      </c>
      <c r="O64" s="375">
        <f t="shared" si="9"/>
        <v>0</v>
      </c>
      <c r="P64" s="375">
        <f t="shared" si="9"/>
        <v>0</v>
      </c>
      <c r="Q64" s="375">
        <f t="shared" si="9"/>
        <v>0</v>
      </c>
      <c r="R64" s="375">
        <f t="shared" si="9"/>
        <v>0</v>
      </c>
      <c r="S64" s="375">
        <f t="shared" si="9"/>
        <v>0</v>
      </c>
      <c r="T64" s="375">
        <f t="shared" si="9"/>
        <v>0</v>
      </c>
      <c r="U64" s="375">
        <f t="shared" si="9"/>
        <v>0</v>
      </c>
      <c r="V64" s="375">
        <f t="shared" si="9"/>
        <v>0</v>
      </c>
      <c r="W64" s="375">
        <f t="shared" si="9"/>
        <v>0</v>
      </c>
      <c r="X64" s="375">
        <f t="shared" si="9"/>
        <v>0</v>
      </c>
      <c r="Y64" s="369"/>
    </row>
    <row r="66" spans="1:26" ht="13.5" thickBot="1" x14ac:dyDescent="0.25">
      <c r="A66" s="6" t="s">
        <v>182</v>
      </c>
    </row>
    <row r="67" spans="1:26" ht="13.5" thickBot="1" x14ac:dyDescent="0.25">
      <c r="A67" s="361" t="s">
        <v>112</v>
      </c>
      <c r="B67" s="359">
        <f>ROW(A67)</f>
        <v>67</v>
      </c>
      <c r="C67" s="363" t="s">
        <v>116</v>
      </c>
      <c r="D67" s="353">
        <f>SUM(B70:Y70)</f>
        <v>2.65</v>
      </c>
      <c r="E67" s="363" t="s">
        <v>115</v>
      </c>
      <c r="F67" s="354">
        <f>D67/g/J67</f>
        <v>54.026503567787969</v>
      </c>
      <c r="G67" s="363" t="s">
        <v>57</v>
      </c>
      <c r="H67" s="64">
        <v>1.4999999999999999E-2</v>
      </c>
      <c r="I67" s="363" t="s">
        <v>270</v>
      </c>
      <c r="J67" s="355">
        <f>H67-L67</f>
        <v>4.9999999999999992E-3</v>
      </c>
      <c r="K67" s="363" t="s">
        <v>271</v>
      </c>
      <c r="L67" s="64">
        <v>0.01</v>
      </c>
      <c r="M67" s="363" t="s">
        <v>58</v>
      </c>
      <c r="N67" s="65">
        <v>30</v>
      </c>
      <c r="O67" s="363" t="s">
        <v>60</v>
      </c>
      <c r="P67" s="65">
        <v>30</v>
      </c>
      <c r="Q67" s="363" t="s">
        <v>61</v>
      </c>
      <c r="R67" s="65">
        <v>70</v>
      </c>
      <c r="S67" s="363" t="s">
        <v>62</v>
      </c>
      <c r="T67" s="65">
        <v>15</v>
      </c>
      <c r="U67" s="363" t="s">
        <v>55</v>
      </c>
      <c r="V67" s="66" t="s">
        <v>118</v>
      </c>
      <c r="W67" s="463" t="s">
        <v>394</v>
      </c>
      <c r="X67" s="465">
        <v>0.32</v>
      </c>
      <c r="Y67" s="463" t="s">
        <v>393</v>
      </c>
      <c r="Z67" s="358">
        <v>3</v>
      </c>
    </row>
    <row r="68" spans="1:26" x14ac:dyDescent="0.2">
      <c r="A68" s="362" t="s">
        <v>33</v>
      </c>
      <c r="B68" s="370">
        <v>0</v>
      </c>
      <c r="C68" s="371">
        <v>0.2</v>
      </c>
      <c r="D68" s="371">
        <v>0.3</v>
      </c>
      <c r="E68" s="371">
        <v>0.4</v>
      </c>
      <c r="F68" s="371">
        <v>0.5</v>
      </c>
      <c r="G68" s="371">
        <v>0.55000000000000004</v>
      </c>
      <c r="H68" s="371">
        <v>0.6</v>
      </c>
      <c r="I68" s="371">
        <v>0.6</v>
      </c>
      <c r="J68" s="371">
        <v>0.6</v>
      </c>
      <c r="K68" s="371">
        <v>0.6</v>
      </c>
      <c r="L68" s="371">
        <v>0.6</v>
      </c>
      <c r="M68" s="371">
        <v>0.6</v>
      </c>
      <c r="N68" s="371">
        <v>0.6</v>
      </c>
      <c r="O68" s="371">
        <v>0.6</v>
      </c>
      <c r="P68" s="371">
        <v>0.6</v>
      </c>
      <c r="Q68" s="371">
        <v>0.6</v>
      </c>
      <c r="R68" s="371">
        <v>0.6</v>
      </c>
      <c r="S68" s="371">
        <v>0.6</v>
      </c>
      <c r="T68" s="371">
        <v>0.6</v>
      </c>
      <c r="U68" s="371">
        <v>0.6</v>
      </c>
      <c r="V68" s="371">
        <v>0.6</v>
      </c>
      <c r="W68" s="371">
        <v>0.6</v>
      </c>
      <c r="X68" s="371">
        <v>0.6</v>
      </c>
      <c r="Y68" s="381">
        <v>1000</v>
      </c>
    </row>
    <row r="69" spans="1:26" x14ac:dyDescent="0.2">
      <c r="A69" s="378" t="s">
        <v>34</v>
      </c>
      <c r="B69" s="372">
        <v>0</v>
      </c>
      <c r="C69" s="373">
        <v>9</v>
      </c>
      <c r="D69" s="373">
        <v>4.5</v>
      </c>
      <c r="E69" s="373">
        <v>4</v>
      </c>
      <c r="F69" s="373">
        <v>4</v>
      </c>
      <c r="G69" s="373">
        <v>3</v>
      </c>
      <c r="H69" s="373">
        <v>0</v>
      </c>
      <c r="I69" s="373">
        <v>0</v>
      </c>
      <c r="J69" s="373">
        <v>0</v>
      </c>
      <c r="K69" s="373">
        <v>0</v>
      </c>
      <c r="L69" s="373">
        <v>0</v>
      </c>
      <c r="M69" s="373">
        <v>0</v>
      </c>
      <c r="N69" s="373">
        <v>0</v>
      </c>
      <c r="O69" s="373">
        <v>0</v>
      </c>
      <c r="P69" s="373">
        <v>0</v>
      </c>
      <c r="Q69" s="373">
        <v>0</v>
      </c>
      <c r="R69" s="373">
        <v>0</v>
      </c>
      <c r="S69" s="373">
        <v>0</v>
      </c>
      <c r="T69" s="373">
        <v>0</v>
      </c>
      <c r="U69" s="373">
        <v>0</v>
      </c>
      <c r="V69" s="373">
        <v>0</v>
      </c>
      <c r="W69" s="373">
        <v>0</v>
      </c>
      <c r="X69" s="373">
        <v>0</v>
      </c>
      <c r="Y69" s="382">
        <v>0</v>
      </c>
    </row>
    <row r="70" spans="1:26" ht="13.5" thickBot="1" x14ac:dyDescent="0.25">
      <c r="A70" s="379" t="s">
        <v>117</v>
      </c>
      <c r="B70" s="374">
        <f t="shared" ref="B70:X70" si="10">(C69+B69)*(C68-B68)/2</f>
        <v>0.9</v>
      </c>
      <c r="C70" s="375">
        <f t="shared" si="10"/>
        <v>0.67499999999999982</v>
      </c>
      <c r="D70" s="375">
        <f t="shared" si="10"/>
        <v>0.42500000000000016</v>
      </c>
      <c r="E70" s="375">
        <f t="shared" si="10"/>
        <v>0.39999999999999991</v>
      </c>
      <c r="F70" s="375">
        <f t="shared" si="10"/>
        <v>0.17500000000000016</v>
      </c>
      <c r="G70" s="375">
        <f t="shared" si="10"/>
        <v>7.49999999999999E-2</v>
      </c>
      <c r="H70" s="375">
        <f t="shared" si="10"/>
        <v>0</v>
      </c>
      <c r="I70" s="375">
        <f t="shared" si="10"/>
        <v>0</v>
      </c>
      <c r="J70" s="375">
        <f t="shared" si="10"/>
        <v>0</v>
      </c>
      <c r="K70" s="375">
        <f t="shared" si="10"/>
        <v>0</v>
      </c>
      <c r="L70" s="375">
        <f t="shared" si="10"/>
        <v>0</v>
      </c>
      <c r="M70" s="375">
        <f t="shared" si="10"/>
        <v>0</v>
      </c>
      <c r="N70" s="375">
        <f t="shared" si="10"/>
        <v>0</v>
      </c>
      <c r="O70" s="375">
        <f t="shared" si="10"/>
        <v>0</v>
      </c>
      <c r="P70" s="375">
        <f t="shared" si="10"/>
        <v>0</v>
      </c>
      <c r="Q70" s="375">
        <f t="shared" si="10"/>
        <v>0</v>
      </c>
      <c r="R70" s="375">
        <f t="shared" si="10"/>
        <v>0</v>
      </c>
      <c r="S70" s="375">
        <f t="shared" si="10"/>
        <v>0</v>
      </c>
      <c r="T70" s="375">
        <f t="shared" si="10"/>
        <v>0</v>
      </c>
      <c r="U70" s="375">
        <f t="shared" si="10"/>
        <v>0</v>
      </c>
      <c r="V70" s="375">
        <f t="shared" si="10"/>
        <v>0</v>
      </c>
      <c r="W70" s="375">
        <f t="shared" si="10"/>
        <v>0</v>
      </c>
      <c r="X70" s="375">
        <f t="shared" si="10"/>
        <v>0</v>
      </c>
      <c r="Y70" s="369"/>
    </row>
    <row r="71" spans="1:26" ht="13.5" thickBot="1" x14ac:dyDescent="0.25">
      <c r="A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6" ht="13.5" thickBot="1" x14ac:dyDescent="0.25">
      <c r="A72" s="361" t="s">
        <v>113</v>
      </c>
      <c r="B72" s="359">
        <f>ROW(A72)</f>
        <v>72</v>
      </c>
      <c r="C72" s="363" t="s">
        <v>116</v>
      </c>
      <c r="D72" s="353">
        <f>SUM(B75:Y75)</f>
        <v>5.25</v>
      </c>
      <c r="E72" s="363" t="s">
        <v>115</v>
      </c>
      <c r="F72" s="354">
        <f>D72/g/J72</f>
        <v>89.1946992864424</v>
      </c>
      <c r="G72" s="363" t="s">
        <v>57</v>
      </c>
      <c r="H72" s="64">
        <v>0.02</v>
      </c>
      <c r="I72" s="363" t="s">
        <v>270</v>
      </c>
      <c r="J72" s="355">
        <f>H72-L72</f>
        <v>6.0000000000000001E-3</v>
      </c>
      <c r="K72" s="363" t="s">
        <v>271</v>
      </c>
      <c r="L72" s="64">
        <v>1.4E-2</v>
      </c>
      <c r="M72" s="363" t="s">
        <v>58</v>
      </c>
      <c r="N72" s="65">
        <v>30</v>
      </c>
      <c r="O72" s="363" t="s">
        <v>60</v>
      </c>
      <c r="P72" s="65">
        <v>30</v>
      </c>
      <c r="Q72" s="363" t="s">
        <v>61</v>
      </c>
      <c r="R72" s="65">
        <v>70</v>
      </c>
      <c r="S72" s="363" t="s">
        <v>62</v>
      </c>
      <c r="T72" s="65">
        <v>15</v>
      </c>
      <c r="U72" s="363" t="s">
        <v>55</v>
      </c>
      <c r="V72" s="66" t="s">
        <v>118</v>
      </c>
      <c r="W72" s="463" t="s">
        <v>394</v>
      </c>
      <c r="X72" s="465">
        <v>1.2</v>
      </c>
      <c r="Y72" s="463" t="s">
        <v>393</v>
      </c>
      <c r="Z72" s="358">
        <v>4</v>
      </c>
    </row>
    <row r="73" spans="1:26" x14ac:dyDescent="0.2">
      <c r="A73" s="362" t="s">
        <v>33</v>
      </c>
      <c r="B73" s="370">
        <v>0</v>
      </c>
      <c r="C73" s="371">
        <v>0.2</v>
      </c>
      <c r="D73" s="371">
        <v>0.3</v>
      </c>
      <c r="E73" s="371">
        <v>0.55000000000000004</v>
      </c>
      <c r="F73" s="371">
        <v>1.05</v>
      </c>
      <c r="G73" s="371">
        <v>1.1499999999999999</v>
      </c>
      <c r="H73" s="371">
        <v>1.1499999999999999</v>
      </c>
      <c r="I73" s="371">
        <v>1.1499999999999999</v>
      </c>
      <c r="J73" s="371">
        <v>1.1499999999999999</v>
      </c>
      <c r="K73" s="371">
        <v>1.1499999999999999</v>
      </c>
      <c r="L73" s="371">
        <v>1.1499999999999999</v>
      </c>
      <c r="M73" s="371">
        <v>1.1499999999999999</v>
      </c>
      <c r="N73" s="371">
        <v>1.1499999999999999</v>
      </c>
      <c r="O73" s="371">
        <v>1.1499999999999999</v>
      </c>
      <c r="P73" s="371">
        <v>1.1499999999999999</v>
      </c>
      <c r="Q73" s="371">
        <v>1.1499999999999999</v>
      </c>
      <c r="R73" s="371">
        <v>1.1499999999999999</v>
      </c>
      <c r="S73" s="371">
        <v>1.1499999999999999</v>
      </c>
      <c r="T73" s="371">
        <v>1.1499999999999999</v>
      </c>
      <c r="U73" s="371">
        <v>1.1499999999999999</v>
      </c>
      <c r="V73" s="371">
        <v>1.1499999999999999</v>
      </c>
      <c r="W73" s="371">
        <v>1.1499999999999999</v>
      </c>
      <c r="X73" s="371">
        <v>1.1499999999999999</v>
      </c>
      <c r="Y73" s="381">
        <v>1000</v>
      </c>
    </row>
    <row r="74" spans="1:26" x14ac:dyDescent="0.2">
      <c r="A74" s="378" t="s">
        <v>34</v>
      </c>
      <c r="B74" s="372">
        <v>0</v>
      </c>
      <c r="C74" s="373">
        <v>10</v>
      </c>
      <c r="D74" s="373">
        <v>6</v>
      </c>
      <c r="E74" s="373">
        <v>4</v>
      </c>
      <c r="F74" s="373">
        <v>4</v>
      </c>
      <c r="G74" s="373">
        <v>0</v>
      </c>
      <c r="H74" s="373">
        <v>0</v>
      </c>
      <c r="I74" s="373">
        <v>0</v>
      </c>
      <c r="J74" s="373">
        <v>0</v>
      </c>
      <c r="K74" s="373">
        <v>0</v>
      </c>
      <c r="L74" s="373">
        <v>0</v>
      </c>
      <c r="M74" s="373">
        <v>0</v>
      </c>
      <c r="N74" s="373">
        <v>0</v>
      </c>
      <c r="O74" s="373">
        <v>0</v>
      </c>
      <c r="P74" s="373">
        <v>0</v>
      </c>
      <c r="Q74" s="373">
        <v>0</v>
      </c>
      <c r="R74" s="373">
        <v>0</v>
      </c>
      <c r="S74" s="373">
        <v>0</v>
      </c>
      <c r="T74" s="373">
        <v>0</v>
      </c>
      <c r="U74" s="373">
        <v>0</v>
      </c>
      <c r="V74" s="373">
        <v>0</v>
      </c>
      <c r="W74" s="373">
        <v>0</v>
      </c>
      <c r="X74" s="373">
        <v>0</v>
      </c>
      <c r="Y74" s="382">
        <v>0</v>
      </c>
    </row>
    <row r="75" spans="1:26" ht="13.5" thickBot="1" x14ac:dyDescent="0.25">
      <c r="A75" s="379" t="s">
        <v>117</v>
      </c>
      <c r="B75" s="374">
        <f t="shared" ref="B75:V75" si="11">(C74+B74)*(C73-B73)/2</f>
        <v>1</v>
      </c>
      <c r="C75" s="375">
        <f t="shared" si="11"/>
        <v>0.79999999999999982</v>
      </c>
      <c r="D75" s="375">
        <f t="shared" si="11"/>
        <v>1.2500000000000002</v>
      </c>
      <c r="E75" s="375">
        <f t="shared" si="11"/>
        <v>2</v>
      </c>
      <c r="F75" s="375">
        <f t="shared" si="11"/>
        <v>0.19999999999999973</v>
      </c>
      <c r="G75" s="375">
        <f t="shared" si="11"/>
        <v>0</v>
      </c>
      <c r="H75" s="375">
        <f t="shared" si="11"/>
        <v>0</v>
      </c>
      <c r="I75" s="375">
        <f t="shared" si="11"/>
        <v>0</v>
      </c>
      <c r="J75" s="375">
        <f>(K74+J74)*(K73-J73)/2</f>
        <v>0</v>
      </c>
      <c r="K75" s="375">
        <f t="shared" si="11"/>
        <v>0</v>
      </c>
      <c r="L75" s="375">
        <f t="shared" si="11"/>
        <v>0</v>
      </c>
      <c r="M75" s="375">
        <f t="shared" si="11"/>
        <v>0</v>
      </c>
      <c r="N75" s="375">
        <f t="shared" si="11"/>
        <v>0</v>
      </c>
      <c r="O75" s="375">
        <f t="shared" si="11"/>
        <v>0</v>
      </c>
      <c r="P75" s="375">
        <f t="shared" si="11"/>
        <v>0</v>
      </c>
      <c r="Q75" s="375">
        <f t="shared" si="11"/>
        <v>0</v>
      </c>
      <c r="R75" s="375">
        <f t="shared" si="11"/>
        <v>0</v>
      </c>
      <c r="S75" s="375">
        <f>(T74+S74)*(T73-S73)/2</f>
        <v>0</v>
      </c>
      <c r="T75" s="375">
        <f t="shared" si="11"/>
        <v>0</v>
      </c>
      <c r="U75" s="375">
        <f t="shared" si="11"/>
        <v>0</v>
      </c>
      <c r="V75" s="375">
        <f t="shared" si="11"/>
        <v>0</v>
      </c>
      <c r="W75" s="375">
        <f>(X74+W74)*(X73-W73)/2</f>
        <v>0</v>
      </c>
      <c r="X75" s="375">
        <f>(Y74+X74)*(Y73-X73)/2</f>
        <v>0</v>
      </c>
      <c r="Y75" s="369"/>
    </row>
    <row r="76" spans="1:26" ht="13.5" thickBot="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6" ht="13.5" thickBot="1" x14ac:dyDescent="0.25">
      <c r="A77" s="361" t="s">
        <v>114</v>
      </c>
      <c r="B77" s="359">
        <f>ROW(A77)</f>
        <v>77</v>
      </c>
      <c r="C77" s="363" t="s">
        <v>116</v>
      </c>
      <c r="D77" s="353">
        <f>SUM(B80:Y80)</f>
        <v>10.26</v>
      </c>
      <c r="E77" s="363" t="s">
        <v>115</v>
      </c>
      <c r="F77" s="354">
        <f>D77/g/J77</f>
        <v>80.451658433309802</v>
      </c>
      <c r="G77" s="363" t="s">
        <v>57</v>
      </c>
      <c r="H77" s="64">
        <v>2.4E-2</v>
      </c>
      <c r="I77" s="363" t="s">
        <v>270</v>
      </c>
      <c r="J77" s="355">
        <f>H77-L77</f>
        <v>1.3000000000000001E-2</v>
      </c>
      <c r="K77" s="363" t="s">
        <v>271</v>
      </c>
      <c r="L77" s="64">
        <v>1.0999999999999999E-2</v>
      </c>
      <c r="M77" s="363" t="s">
        <v>58</v>
      </c>
      <c r="N77" s="65">
        <v>30</v>
      </c>
      <c r="O77" s="363" t="s">
        <v>60</v>
      </c>
      <c r="P77" s="65">
        <v>30</v>
      </c>
      <c r="Q77" s="363" t="s">
        <v>61</v>
      </c>
      <c r="R77" s="65">
        <v>70</v>
      </c>
      <c r="S77" s="363" t="s">
        <v>62</v>
      </c>
      <c r="T77" s="65">
        <v>15</v>
      </c>
      <c r="U77" s="363" t="s">
        <v>55</v>
      </c>
      <c r="V77" s="66" t="s">
        <v>118</v>
      </c>
      <c r="W77" s="463" t="s">
        <v>394</v>
      </c>
      <c r="X77" s="465">
        <v>1.7</v>
      </c>
      <c r="Y77" s="463" t="s">
        <v>393</v>
      </c>
      <c r="Z77" s="358">
        <v>3</v>
      </c>
    </row>
    <row r="78" spans="1:26" x14ac:dyDescent="0.2">
      <c r="A78" s="362" t="s">
        <v>33</v>
      </c>
      <c r="B78" s="370">
        <v>0</v>
      </c>
      <c r="C78" s="371">
        <v>0.2</v>
      </c>
      <c r="D78" s="371">
        <v>0.3</v>
      </c>
      <c r="E78" s="371">
        <v>0.6</v>
      </c>
      <c r="F78" s="371">
        <v>0.8</v>
      </c>
      <c r="G78" s="371">
        <v>2</v>
      </c>
      <c r="H78" s="371">
        <v>2.1</v>
      </c>
      <c r="I78" s="371">
        <v>2.1</v>
      </c>
      <c r="J78" s="371">
        <v>2.1</v>
      </c>
      <c r="K78" s="371">
        <v>2.1</v>
      </c>
      <c r="L78" s="371">
        <v>2.1</v>
      </c>
      <c r="M78" s="371">
        <v>2.1</v>
      </c>
      <c r="N78" s="371">
        <v>2.1</v>
      </c>
      <c r="O78" s="371">
        <v>2.1</v>
      </c>
      <c r="P78" s="371">
        <v>2.1</v>
      </c>
      <c r="Q78" s="371">
        <v>2.1</v>
      </c>
      <c r="R78" s="371">
        <v>2.1</v>
      </c>
      <c r="S78" s="371">
        <v>2.1</v>
      </c>
      <c r="T78" s="371">
        <v>2.1</v>
      </c>
      <c r="U78" s="371">
        <v>2.1</v>
      </c>
      <c r="V78" s="371">
        <v>2.1</v>
      </c>
      <c r="W78" s="371">
        <v>2.1</v>
      </c>
      <c r="X78" s="371">
        <v>2.1</v>
      </c>
      <c r="Y78" s="381">
        <v>1000</v>
      </c>
    </row>
    <row r="79" spans="1:26" x14ac:dyDescent="0.2">
      <c r="A79" s="378" t="s">
        <v>34</v>
      </c>
      <c r="B79" s="372">
        <v>0</v>
      </c>
      <c r="C79" s="373">
        <v>11</v>
      </c>
      <c r="D79" s="373">
        <v>7</v>
      </c>
      <c r="E79" s="373">
        <v>4</v>
      </c>
      <c r="F79" s="373">
        <v>4.5999999999999996</v>
      </c>
      <c r="G79" s="373">
        <v>4.5999999999999996</v>
      </c>
      <c r="H79" s="373">
        <v>0</v>
      </c>
      <c r="I79" s="373">
        <v>0</v>
      </c>
      <c r="J79" s="373">
        <v>0</v>
      </c>
      <c r="K79" s="373">
        <v>0</v>
      </c>
      <c r="L79" s="373">
        <v>0</v>
      </c>
      <c r="M79" s="373">
        <v>0</v>
      </c>
      <c r="N79" s="373">
        <v>0</v>
      </c>
      <c r="O79" s="373">
        <v>0</v>
      </c>
      <c r="P79" s="373">
        <v>0</v>
      </c>
      <c r="Q79" s="373">
        <v>0</v>
      </c>
      <c r="R79" s="373">
        <v>0</v>
      </c>
      <c r="S79" s="373">
        <v>0</v>
      </c>
      <c r="T79" s="373">
        <v>0</v>
      </c>
      <c r="U79" s="373">
        <v>0</v>
      </c>
      <c r="V79" s="373">
        <v>0</v>
      </c>
      <c r="W79" s="373">
        <v>0</v>
      </c>
      <c r="X79" s="373">
        <v>0</v>
      </c>
      <c r="Y79" s="382">
        <v>0</v>
      </c>
    </row>
    <row r="80" spans="1:26" ht="13.5" thickBot="1" x14ac:dyDescent="0.25">
      <c r="A80" s="379" t="s">
        <v>117</v>
      </c>
      <c r="B80" s="374">
        <f t="shared" ref="B80:G80" si="12">(C79+B79)*(C78-B78)/2</f>
        <v>1.1000000000000001</v>
      </c>
      <c r="C80" s="375">
        <f t="shared" si="12"/>
        <v>0.8999999999999998</v>
      </c>
      <c r="D80" s="375">
        <f t="shared" si="12"/>
        <v>1.65</v>
      </c>
      <c r="E80" s="375">
        <f t="shared" si="12"/>
        <v>0.86000000000000021</v>
      </c>
      <c r="F80" s="375">
        <f t="shared" si="12"/>
        <v>5.52</v>
      </c>
      <c r="G80" s="375">
        <f t="shared" si="12"/>
        <v>0.23000000000000018</v>
      </c>
      <c r="H80" s="375">
        <f t="shared" ref="H80:V80" si="13">(I79+H79)*(I78-H78)/2</f>
        <v>0</v>
      </c>
      <c r="I80" s="375">
        <f t="shared" si="13"/>
        <v>0</v>
      </c>
      <c r="J80" s="375">
        <f>(K79+J79)*(K78-J78)/2</f>
        <v>0</v>
      </c>
      <c r="K80" s="375">
        <f t="shared" si="13"/>
        <v>0</v>
      </c>
      <c r="L80" s="375">
        <f t="shared" si="13"/>
        <v>0</v>
      </c>
      <c r="M80" s="375">
        <f t="shared" si="13"/>
        <v>0</v>
      </c>
      <c r="N80" s="375">
        <f t="shared" si="13"/>
        <v>0</v>
      </c>
      <c r="O80" s="375">
        <f t="shared" si="13"/>
        <v>0</v>
      </c>
      <c r="P80" s="375">
        <f t="shared" si="13"/>
        <v>0</v>
      </c>
      <c r="Q80" s="375">
        <f t="shared" si="13"/>
        <v>0</v>
      </c>
      <c r="R80" s="375">
        <f t="shared" si="13"/>
        <v>0</v>
      </c>
      <c r="S80" s="375">
        <f>(T79+S79)*(T78-S78)/2</f>
        <v>0</v>
      </c>
      <c r="T80" s="375">
        <f t="shared" si="13"/>
        <v>0</v>
      </c>
      <c r="U80" s="375">
        <f t="shared" si="13"/>
        <v>0</v>
      </c>
      <c r="V80" s="375">
        <f t="shared" si="13"/>
        <v>0</v>
      </c>
      <c r="W80" s="375">
        <f>(X79+W79)*(X78-W78)/2</f>
        <v>0</v>
      </c>
      <c r="X80" s="375">
        <f>(Y79+X79)*(Y78-X78)/2</f>
        <v>0</v>
      </c>
      <c r="Y80" s="369"/>
    </row>
    <row r="81" spans="1:26" ht="13.5" thickBot="1" x14ac:dyDescent="0.25">
      <c r="A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6" ht="13.5" thickBot="1" x14ac:dyDescent="0.25">
      <c r="A82" s="361" t="s">
        <v>329</v>
      </c>
      <c r="B82" s="359">
        <f>ROW(A82)</f>
        <v>82</v>
      </c>
      <c r="C82" s="363" t="s">
        <v>116</v>
      </c>
      <c r="D82" s="353">
        <f>SUM(B85:Y85)</f>
        <v>20.52</v>
      </c>
      <c r="E82" s="363" t="s">
        <v>115</v>
      </c>
      <c r="F82" s="354">
        <f>D82/g/J82</f>
        <v>80.451658433309802</v>
      </c>
      <c r="G82" s="363" t="s">
        <v>57</v>
      </c>
      <c r="H82" s="64">
        <f>H77*2</f>
        <v>4.8000000000000001E-2</v>
      </c>
      <c r="I82" s="363" t="s">
        <v>270</v>
      </c>
      <c r="J82" s="355">
        <f>H82-L82</f>
        <v>2.6000000000000002E-2</v>
      </c>
      <c r="K82" s="363" t="s">
        <v>271</v>
      </c>
      <c r="L82" s="64">
        <f>L77*2</f>
        <v>2.1999999999999999E-2</v>
      </c>
      <c r="M82" s="363" t="s">
        <v>58</v>
      </c>
      <c r="N82" s="65">
        <v>30</v>
      </c>
      <c r="O82" s="363" t="s">
        <v>60</v>
      </c>
      <c r="P82" s="65">
        <v>30</v>
      </c>
      <c r="Q82" s="363" t="s">
        <v>61</v>
      </c>
      <c r="R82" s="65">
        <v>70</v>
      </c>
      <c r="S82" s="363" t="s">
        <v>62</v>
      </c>
      <c r="T82" s="65">
        <v>30</v>
      </c>
      <c r="U82" s="363" t="s">
        <v>55</v>
      </c>
      <c r="V82" s="66" t="s">
        <v>118</v>
      </c>
      <c r="W82" s="463" t="s">
        <v>394</v>
      </c>
      <c r="X82" s="465">
        <v>1.7</v>
      </c>
      <c r="Y82" s="463" t="s">
        <v>393</v>
      </c>
      <c r="Z82" s="358">
        <v>3</v>
      </c>
    </row>
    <row r="83" spans="1:26" x14ac:dyDescent="0.2">
      <c r="A83" s="362" t="s">
        <v>33</v>
      </c>
      <c r="B83" s="370">
        <v>0</v>
      </c>
      <c r="C83" s="371">
        <v>0.2</v>
      </c>
      <c r="D83" s="371">
        <v>0.3</v>
      </c>
      <c r="E83" s="371">
        <v>0.6</v>
      </c>
      <c r="F83" s="371">
        <v>0.8</v>
      </c>
      <c r="G83" s="371">
        <v>2</v>
      </c>
      <c r="H83" s="371">
        <v>2.1</v>
      </c>
      <c r="I83" s="371">
        <v>2.1</v>
      </c>
      <c r="J83" s="371">
        <v>2.1</v>
      </c>
      <c r="K83" s="371">
        <v>2.1</v>
      </c>
      <c r="L83" s="371">
        <v>2.1</v>
      </c>
      <c r="M83" s="371">
        <v>2.1</v>
      </c>
      <c r="N83" s="371">
        <v>2.1</v>
      </c>
      <c r="O83" s="371">
        <v>2.1</v>
      </c>
      <c r="P83" s="371">
        <v>2.1</v>
      </c>
      <c r="Q83" s="371">
        <v>2.1</v>
      </c>
      <c r="R83" s="371">
        <v>2.1</v>
      </c>
      <c r="S83" s="371">
        <v>2.1</v>
      </c>
      <c r="T83" s="371">
        <v>2.1</v>
      </c>
      <c r="U83" s="371">
        <v>2.1</v>
      </c>
      <c r="V83" s="371">
        <v>2.1</v>
      </c>
      <c r="W83" s="371">
        <v>2.1</v>
      </c>
      <c r="X83" s="371">
        <v>2.1</v>
      </c>
      <c r="Y83" s="381">
        <v>1000</v>
      </c>
    </row>
    <row r="84" spans="1:26" x14ac:dyDescent="0.2">
      <c r="A84" s="378" t="s">
        <v>34</v>
      </c>
      <c r="B84" s="372">
        <f>B79*2</f>
        <v>0</v>
      </c>
      <c r="C84" s="373">
        <f t="shared" ref="C84:X84" si="14">C79*2</f>
        <v>22</v>
      </c>
      <c r="D84" s="373">
        <f t="shared" si="14"/>
        <v>14</v>
      </c>
      <c r="E84" s="373">
        <f t="shared" si="14"/>
        <v>8</v>
      </c>
      <c r="F84" s="373">
        <f t="shared" si="14"/>
        <v>9.1999999999999993</v>
      </c>
      <c r="G84" s="373">
        <f t="shared" si="14"/>
        <v>9.1999999999999993</v>
      </c>
      <c r="H84" s="373">
        <f t="shared" si="14"/>
        <v>0</v>
      </c>
      <c r="I84" s="373">
        <f t="shared" si="14"/>
        <v>0</v>
      </c>
      <c r="J84" s="373">
        <f t="shared" si="14"/>
        <v>0</v>
      </c>
      <c r="K84" s="373">
        <f t="shared" si="14"/>
        <v>0</v>
      </c>
      <c r="L84" s="373">
        <f t="shared" si="14"/>
        <v>0</v>
      </c>
      <c r="M84" s="373">
        <f t="shared" si="14"/>
        <v>0</v>
      </c>
      <c r="N84" s="373">
        <f t="shared" si="14"/>
        <v>0</v>
      </c>
      <c r="O84" s="373">
        <f t="shared" si="14"/>
        <v>0</v>
      </c>
      <c r="P84" s="373">
        <f t="shared" si="14"/>
        <v>0</v>
      </c>
      <c r="Q84" s="373">
        <f t="shared" si="14"/>
        <v>0</v>
      </c>
      <c r="R84" s="373">
        <f t="shared" si="14"/>
        <v>0</v>
      </c>
      <c r="S84" s="373">
        <f t="shared" si="14"/>
        <v>0</v>
      </c>
      <c r="T84" s="373">
        <f t="shared" si="14"/>
        <v>0</v>
      </c>
      <c r="U84" s="373">
        <f t="shared" si="14"/>
        <v>0</v>
      </c>
      <c r="V84" s="373">
        <f t="shared" si="14"/>
        <v>0</v>
      </c>
      <c r="W84" s="373">
        <f t="shared" si="14"/>
        <v>0</v>
      </c>
      <c r="X84" s="373">
        <f t="shared" si="14"/>
        <v>0</v>
      </c>
      <c r="Y84" s="382">
        <v>0</v>
      </c>
    </row>
    <row r="85" spans="1:26" ht="13.5" thickBot="1" x14ac:dyDescent="0.25">
      <c r="A85" s="379" t="s">
        <v>117</v>
      </c>
      <c r="B85" s="374">
        <f t="shared" ref="B85:X85" si="15">(C84+B84)*(C83-B83)/2</f>
        <v>2.2000000000000002</v>
      </c>
      <c r="C85" s="375">
        <f t="shared" si="15"/>
        <v>1.7999999999999996</v>
      </c>
      <c r="D85" s="375">
        <f t="shared" si="15"/>
        <v>3.3</v>
      </c>
      <c r="E85" s="375">
        <f t="shared" si="15"/>
        <v>1.7200000000000004</v>
      </c>
      <c r="F85" s="375">
        <f t="shared" si="15"/>
        <v>11.04</v>
      </c>
      <c r="G85" s="375">
        <f t="shared" si="15"/>
        <v>0.46000000000000035</v>
      </c>
      <c r="H85" s="375">
        <f t="shared" si="15"/>
        <v>0</v>
      </c>
      <c r="I85" s="375">
        <f t="shared" si="15"/>
        <v>0</v>
      </c>
      <c r="J85" s="375">
        <f t="shared" si="15"/>
        <v>0</v>
      </c>
      <c r="K85" s="375">
        <f t="shared" si="15"/>
        <v>0</v>
      </c>
      <c r="L85" s="375">
        <f t="shared" si="15"/>
        <v>0</v>
      </c>
      <c r="M85" s="375">
        <f t="shared" si="15"/>
        <v>0</v>
      </c>
      <c r="N85" s="375">
        <f t="shared" si="15"/>
        <v>0</v>
      </c>
      <c r="O85" s="375">
        <f t="shared" si="15"/>
        <v>0</v>
      </c>
      <c r="P85" s="375">
        <f t="shared" si="15"/>
        <v>0</v>
      </c>
      <c r="Q85" s="375">
        <f t="shared" si="15"/>
        <v>0</v>
      </c>
      <c r="R85" s="375">
        <f t="shared" si="15"/>
        <v>0</v>
      </c>
      <c r="S85" s="375">
        <f t="shared" si="15"/>
        <v>0</v>
      </c>
      <c r="T85" s="375">
        <f t="shared" si="15"/>
        <v>0</v>
      </c>
      <c r="U85" s="375">
        <f t="shared" si="15"/>
        <v>0</v>
      </c>
      <c r="V85" s="375">
        <f t="shared" si="15"/>
        <v>0</v>
      </c>
      <c r="W85" s="375">
        <f t="shared" si="15"/>
        <v>0</v>
      </c>
      <c r="X85" s="375">
        <f t="shared" si="15"/>
        <v>0</v>
      </c>
      <c r="Y85" s="369"/>
    </row>
    <row r="86" spans="1:26" ht="13.5" thickBo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6" ht="13.5" thickBot="1" x14ac:dyDescent="0.25">
      <c r="A87" s="361" t="s">
        <v>330</v>
      </c>
      <c r="B87" s="359">
        <f>ROW(A87)</f>
        <v>87</v>
      </c>
      <c r="C87" s="363" t="s">
        <v>116</v>
      </c>
      <c r="D87" s="353">
        <f>SUM(B90:Y90)</f>
        <v>30.779999999999998</v>
      </c>
      <c r="E87" s="363" t="s">
        <v>115</v>
      </c>
      <c r="F87" s="354">
        <f>D87/g/J87</f>
        <v>80.451658433309774</v>
      </c>
      <c r="G87" s="363" t="s">
        <v>57</v>
      </c>
      <c r="H87" s="64">
        <f>H77*3</f>
        <v>7.2000000000000008E-2</v>
      </c>
      <c r="I87" s="363" t="s">
        <v>270</v>
      </c>
      <c r="J87" s="355">
        <f>H87-L87</f>
        <v>3.9000000000000007E-2</v>
      </c>
      <c r="K87" s="363" t="s">
        <v>271</v>
      </c>
      <c r="L87" s="64">
        <f>L77*3</f>
        <v>3.3000000000000002E-2</v>
      </c>
      <c r="M87" s="363" t="s">
        <v>58</v>
      </c>
      <c r="N87" s="65">
        <v>30</v>
      </c>
      <c r="O87" s="363" t="s">
        <v>60</v>
      </c>
      <c r="P87" s="65">
        <v>30</v>
      </c>
      <c r="Q87" s="363" t="s">
        <v>61</v>
      </c>
      <c r="R87" s="65">
        <v>70</v>
      </c>
      <c r="S87" s="363" t="s">
        <v>62</v>
      </c>
      <c r="T87" s="65">
        <v>40</v>
      </c>
      <c r="U87" s="363" t="s">
        <v>55</v>
      </c>
      <c r="V87" s="66" t="s">
        <v>118</v>
      </c>
      <c r="W87" s="463" t="s">
        <v>394</v>
      </c>
      <c r="X87" s="465">
        <v>1.7</v>
      </c>
      <c r="Y87" s="463" t="s">
        <v>393</v>
      </c>
      <c r="Z87" s="358">
        <v>3</v>
      </c>
    </row>
    <row r="88" spans="1:26" x14ac:dyDescent="0.2">
      <c r="A88" s="362" t="s">
        <v>33</v>
      </c>
      <c r="B88" s="370">
        <v>0</v>
      </c>
      <c r="C88" s="371">
        <v>0.2</v>
      </c>
      <c r="D88" s="371">
        <v>0.3</v>
      </c>
      <c r="E88" s="371">
        <v>0.6</v>
      </c>
      <c r="F88" s="371">
        <v>0.8</v>
      </c>
      <c r="G88" s="371">
        <v>2</v>
      </c>
      <c r="H88" s="371">
        <v>2.1</v>
      </c>
      <c r="I88" s="371">
        <v>2.1</v>
      </c>
      <c r="J88" s="371">
        <v>2.1</v>
      </c>
      <c r="K88" s="371">
        <v>2.1</v>
      </c>
      <c r="L88" s="371">
        <v>2.1</v>
      </c>
      <c r="M88" s="371">
        <v>2.1</v>
      </c>
      <c r="N88" s="371">
        <v>2.1</v>
      </c>
      <c r="O88" s="371">
        <v>2.1</v>
      </c>
      <c r="P88" s="371">
        <v>2.1</v>
      </c>
      <c r="Q88" s="371">
        <v>2.1</v>
      </c>
      <c r="R88" s="371">
        <v>2.1</v>
      </c>
      <c r="S88" s="371">
        <v>2.1</v>
      </c>
      <c r="T88" s="371">
        <v>2.1</v>
      </c>
      <c r="U88" s="371">
        <v>2.1</v>
      </c>
      <c r="V88" s="371">
        <v>2.1</v>
      </c>
      <c r="W88" s="371">
        <v>2.1</v>
      </c>
      <c r="X88" s="371">
        <v>2.1</v>
      </c>
      <c r="Y88" s="381">
        <v>1000</v>
      </c>
    </row>
    <row r="89" spans="1:26" x14ac:dyDescent="0.2">
      <c r="A89" s="378" t="s">
        <v>34</v>
      </c>
      <c r="B89" s="372">
        <f>B79*3</f>
        <v>0</v>
      </c>
      <c r="C89" s="373">
        <f t="shared" ref="C89:X89" si="16">C79*3</f>
        <v>33</v>
      </c>
      <c r="D89" s="373">
        <f t="shared" si="16"/>
        <v>21</v>
      </c>
      <c r="E89" s="373">
        <f t="shared" si="16"/>
        <v>12</v>
      </c>
      <c r="F89" s="373">
        <f t="shared" si="16"/>
        <v>13.799999999999999</v>
      </c>
      <c r="G89" s="373">
        <f t="shared" si="16"/>
        <v>13.799999999999999</v>
      </c>
      <c r="H89" s="373">
        <f t="shared" si="16"/>
        <v>0</v>
      </c>
      <c r="I89" s="373">
        <f t="shared" si="16"/>
        <v>0</v>
      </c>
      <c r="J89" s="373">
        <f t="shared" si="16"/>
        <v>0</v>
      </c>
      <c r="K89" s="373">
        <f t="shared" si="16"/>
        <v>0</v>
      </c>
      <c r="L89" s="373">
        <f t="shared" si="16"/>
        <v>0</v>
      </c>
      <c r="M89" s="373">
        <f t="shared" si="16"/>
        <v>0</v>
      </c>
      <c r="N89" s="373">
        <f t="shared" si="16"/>
        <v>0</v>
      </c>
      <c r="O89" s="373">
        <f t="shared" si="16"/>
        <v>0</v>
      </c>
      <c r="P89" s="373">
        <f t="shared" si="16"/>
        <v>0</v>
      </c>
      <c r="Q89" s="373">
        <f t="shared" si="16"/>
        <v>0</v>
      </c>
      <c r="R89" s="373">
        <f t="shared" si="16"/>
        <v>0</v>
      </c>
      <c r="S89" s="373">
        <f t="shared" si="16"/>
        <v>0</v>
      </c>
      <c r="T89" s="373">
        <f t="shared" si="16"/>
        <v>0</v>
      </c>
      <c r="U89" s="373">
        <f t="shared" si="16"/>
        <v>0</v>
      </c>
      <c r="V89" s="373">
        <f t="shared" si="16"/>
        <v>0</v>
      </c>
      <c r="W89" s="373">
        <f t="shared" si="16"/>
        <v>0</v>
      </c>
      <c r="X89" s="373">
        <f t="shared" si="16"/>
        <v>0</v>
      </c>
      <c r="Y89" s="382">
        <v>0</v>
      </c>
    </row>
    <row r="90" spans="1:26" ht="13.5" thickBot="1" x14ac:dyDescent="0.25">
      <c r="A90" s="379" t="s">
        <v>117</v>
      </c>
      <c r="B90" s="374">
        <f t="shared" ref="B90:X90" si="17">(C89+B89)*(C88-B88)/2</f>
        <v>3.3000000000000003</v>
      </c>
      <c r="C90" s="375">
        <f t="shared" si="17"/>
        <v>2.6999999999999993</v>
      </c>
      <c r="D90" s="375">
        <f t="shared" si="17"/>
        <v>4.95</v>
      </c>
      <c r="E90" s="375">
        <f t="shared" si="17"/>
        <v>2.5800000000000005</v>
      </c>
      <c r="F90" s="375">
        <f t="shared" si="17"/>
        <v>16.559999999999999</v>
      </c>
      <c r="G90" s="375">
        <f t="shared" si="17"/>
        <v>0.69000000000000061</v>
      </c>
      <c r="H90" s="375">
        <f t="shared" si="17"/>
        <v>0</v>
      </c>
      <c r="I90" s="375">
        <f t="shared" si="17"/>
        <v>0</v>
      </c>
      <c r="J90" s="375">
        <f t="shared" si="17"/>
        <v>0</v>
      </c>
      <c r="K90" s="375">
        <f t="shared" si="17"/>
        <v>0</v>
      </c>
      <c r="L90" s="375">
        <f t="shared" si="17"/>
        <v>0</v>
      </c>
      <c r="M90" s="375">
        <f t="shared" si="17"/>
        <v>0</v>
      </c>
      <c r="N90" s="375">
        <f t="shared" si="17"/>
        <v>0</v>
      </c>
      <c r="O90" s="375">
        <f t="shared" si="17"/>
        <v>0</v>
      </c>
      <c r="P90" s="375">
        <f t="shared" si="17"/>
        <v>0</v>
      </c>
      <c r="Q90" s="375">
        <f t="shared" si="17"/>
        <v>0</v>
      </c>
      <c r="R90" s="375">
        <f t="shared" si="17"/>
        <v>0</v>
      </c>
      <c r="S90" s="375">
        <f t="shared" si="17"/>
        <v>0</v>
      </c>
      <c r="T90" s="375">
        <f t="shared" si="17"/>
        <v>0</v>
      </c>
      <c r="U90" s="375">
        <f t="shared" si="17"/>
        <v>0</v>
      </c>
      <c r="V90" s="375">
        <f t="shared" si="17"/>
        <v>0</v>
      </c>
      <c r="W90" s="375">
        <f t="shared" si="17"/>
        <v>0</v>
      </c>
      <c r="X90" s="375">
        <f t="shared" si="17"/>
        <v>0</v>
      </c>
      <c r="Y90" s="369"/>
    </row>
    <row r="91" spans="1:26" ht="13.5" thickBo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6" ht="13.5" thickBot="1" x14ac:dyDescent="0.25">
      <c r="A92" s="361" t="s">
        <v>541</v>
      </c>
      <c r="B92" s="359">
        <f>ROW(A92)</f>
        <v>92</v>
      </c>
      <c r="C92" s="363" t="s">
        <v>116</v>
      </c>
      <c r="D92" s="353">
        <f>SUM(B95:Y95)</f>
        <v>19.961989000000003</v>
      </c>
      <c r="E92" s="363" t="s">
        <v>115</v>
      </c>
      <c r="F92" s="354">
        <f>D92/g/J92</f>
        <v>118.30588744280873</v>
      </c>
      <c r="G92" s="363" t="s">
        <v>57</v>
      </c>
      <c r="H92" s="64">
        <v>2.8199999999999999E-2</v>
      </c>
      <c r="I92" s="363" t="s">
        <v>270</v>
      </c>
      <c r="J92" s="355">
        <f>H92-L92</f>
        <v>1.72E-2</v>
      </c>
      <c r="K92" s="363" t="s">
        <v>271</v>
      </c>
      <c r="L92" s="64">
        <v>1.0999999999999999E-2</v>
      </c>
      <c r="M92" s="363" t="s">
        <v>58</v>
      </c>
      <c r="N92" s="65">
        <v>30</v>
      </c>
      <c r="O92" s="363" t="s">
        <v>60</v>
      </c>
      <c r="P92" s="65">
        <v>30</v>
      </c>
      <c r="Q92" s="363" t="s">
        <v>61</v>
      </c>
      <c r="R92" s="65">
        <v>70</v>
      </c>
      <c r="S92" s="363" t="s">
        <v>62</v>
      </c>
      <c r="T92" s="65">
        <v>18</v>
      </c>
      <c r="U92" s="363" t="s">
        <v>55</v>
      </c>
      <c r="V92" s="66" t="s">
        <v>401</v>
      </c>
      <c r="W92" s="463" t="s">
        <v>394</v>
      </c>
      <c r="X92" s="465">
        <v>2.1</v>
      </c>
      <c r="Y92" s="463" t="s">
        <v>393</v>
      </c>
      <c r="Z92" s="358">
        <v>7</v>
      </c>
    </row>
    <row r="93" spans="1:26" x14ac:dyDescent="0.2">
      <c r="A93" s="362" t="s">
        <v>33</v>
      </c>
      <c r="B93" s="370">
        <v>0</v>
      </c>
      <c r="C93" s="472">
        <v>0.04</v>
      </c>
      <c r="D93" s="472">
        <v>0.11600000000000001</v>
      </c>
      <c r="E93" s="472">
        <v>0.21299999999999999</v>
      </c>
      <c r="F93" s="472">
        <v>0.28599999999999998</v>
      </c>
      <c r="G93" s="472">
        <v>0.32900000000000001</v>
      </c>
      <c r="H93" s="472">
        <v>0.36899999999999999</v>
      </c>
      <c r="I93" s="472">
        <v>0.42</v>
      </c>
      <c r="J93" s="472">
        <v>0.495</v>
      </c>
      <c r="K93" s="472">
        <v>0.59699999999999998</v>
      </c>
      <c r="L93" s="472">
        <v>1.7110000000000001</v>
      </c>
      <c r="M93" s="472">
        <v>1.8260000000000001</v>
      </c>
      <c r="N93" s="472">
        <v>1.917</v>
      </c>
      <c r="O93" s="472">
        <v>1.9750000000000001</v>
      </c>
      <c r="P93" s="472">
        <v>2.206</v>
      </c>
      <c r="Q93" s="472">
        <v>2.242</v>
      </c>
      <c r="R93" s="371">
        <v>2.5</v>
      </c>
      <c r="S93" s="371">
        <v>2.5</v>
      </c>
      <c r="T93" s="371">
        <v>2.5</v>
      </c>
      <c r="U93" s="371">
        <v>2.5</v>
      </c>
      <c r="V93" s="371">
        <v>2.5</v>
      </c>
      <c r="W93" s="371">
        <v>2.5</v>
      </c>
      <c r="X93" s="371">
        <v>2.5</v>
      </c>
      <c r="Y93" s="381">
        <v>1000</v>
      </c>
    </row>
    <row r="94" spans="1:26" x14ac:dyDescent="0.2">
      <c r="A94" s="378" t="s">
        <v>34</v>
      </c>
      <c r="B94" s="372">
        <v>0</v>
      </c>
      <c r="C94" s="472">
        <v>2.1110000000000002</v>
      </c>
      <c r="D94" s="472">
        <v>9.6850000000000005</v>
      </c>
      <c r="E94" s="472">
        <v>25</v>
      </c>
      <c r="F94" s="472">
        <v>15.738</v>
      </c>
      <c r="G94" s="472">
        <v>12.472</v>
      </c>
      <c r="H94" s="472">
        <v>10.67</v>
      </c>
      <c r="I94" s="472">
        <v>9.7129999999999992</v>
      </c>
      <c r="J94" s="472">
        <v>9.1780000000000008</v>
      </c>
      <c r="K94" s="472">
        <v>8.8960000000000008</v>
      </c>
      <c r="L94" s="472">
        <v>8.9250000000000007</v>
      </c>
      <c r="M94" s="472">
        <v>8.6989999999999998</v>
      </c>
      <c r="N94" s="472">
        <v>8.0519999999999996</v>
      </c>
      <c r="O94" s="472">
        <v>6.9539999999999997</v>
      </c>
      <c r="P94" s="472">
        <v>1.07</v>
      </c>
      <c r="Q94" s="472">
        <v>0</v>
      </c>
      <c r="R94" s="373">
        <v>0</v>
      </c>
      <c r="S94" s="373">
        <v>0</v>
      </c>
      <c r="T94" s="373">
        <v>0</v>
      </c>
      <c r="U94" s="373">
        <v>0</v>
      </c>
      <c r="V94" s="373">
        <v>0</v>
      </c>
      <c r="W94" s="373">
        <v>0</v>
      </c>
      <c r="X94" s="373">
        <v>0</v>
      </c>
      <c r="Y94" s="382">
        <v>0</v>
      </c>
    </row>
    <row r="95" spans="1:26" ht="13.5" thickBot="1" x14ac:dyDescent="0.25">
      <c r="A95" s="379" t="s">
        <v>117</v>
      </c>
      <c r="B95" s="374">
        <f t="shared" ref="B95:X95" si="18">(C94+B94)*(C93-B93)/2</f>
        <v>4.2220000000000008E-2</v>
      </c>
      <c r="C95" s="375">
        <f t="shared" si="18"/>
        <v>0.44824800000000009</v>
      </c>
      <c r="D95" s="375">
        <f t="shared" si="18"/>
        <v>1.6822225</v>
      </c>
      <c r="E95" s="375">
        <f t="shared" si="18"/>
        <v>1.4869369999999995</v>
      </c>
      <c r="F95" s="375">
        <f t="shared" si="18"/>
        <v>0.60651500000000058</v>
      </c>
      <c r="G95" s="375">
        <f t="shared" si="18"/>
        <v>0.46283999999999975</v>
      </c>
      <c r="H95" s="375">
        <f t="shared" si="18"/>
        <v>0.51976649999999991</v>
      </c>
      <c r="I95" s="375">
        <f t="shared" si="18"/>
        <v>0.7084125</v>
      </c>
      <c r="J95" s="375">
        <f t="shared" si="18"/>
        <v>0.92177399999999987</v>
      </c>
      <c r="K95" s="375">
        <f t="shared" si="18"/>
        <v>9.9262970000000017</v>
      </c>
      <c r="L95" s="375">
        <f t="shared" si="18"/>
        <v>1.0133799999999999</v>
      </c>
      <c r="M95" s="375">
        <f t="shared" si="18"/>
        <v>0.76217049999999964</v>
      </c>
      <c r="N95" s="375">
        <f t="shared" si="18"/>
        <v>0.43517400000000039</v>
      </c>
      <c r="O95" s="375">
        <f t="shared" si="18"/>
        <v>0.92677199999999937</v>
      </c>
      <c r="P95" s="375">
        <f t="shared" si="18"/>
        <v>1.9260000000000017E-2</v>
      </c>
      <c r="Q95" s="375">
        <f t="shared" si="18"/>
        <v>0</v>
      </c>
      <c r="R95" s="375">
        <f t="shared" si="18"/>
        <v>0</v>
      </c>
      <c r="S95" s="375">
        <f t="shared" si="18"/>
        <v>0</v>
      </c>
      <c r="T95" s="375">
        <f t="shared" si="18"/>
        <v>0</v>
      </c>
      <c r="U95" s="375">
        <f t="shared" si="18"/>
        <v>0</v>
      </c>
      <c r="V95" s="375">
        <f t="shared" si="18"/>
        <v>0</v>
      </c>
      <c r="W95" s="375">
        <f t="shared" si="18"/>
        <v>0</v>
      </c>
      <c r="X95" s="375">
        <f t="shared" si="18"/>
        <v>0</v>
      </c>
      <c r="Y95" s="369"/>
    </row>
    <row r="96" spans="1:26" ht="13.5" thickBot="1" x14ac:dyDescent="0.25">
      <c r="A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6" ht="13.5" thickBot="1" x14ac:dyDescent="0.25">
      <c r="A97" s="361" t="s">
        <v>539</v>
      </c>
      <c r="B97" s="359">
        <f>ROW(A97)</f>
        <v>97</v>
      </c>
      <c r="C97" s="363" t="s">
        <v>116</v>
      </c>
      <c r="D97" s="353">
        <f>SUM(B100:Y100)</f>
        <v>39.923978000000005</v>
      </c>
      <c r="E97" s="363" t="s">
        <v>115</v>
      </c>
      <c r="F97" s="354">
        <f>D97/g/J97</f>
        <v>118.30588744280873</v>
      </c>
      <c r="G97" s="363" t="s">
        <v>57</v>
      </c>
      <c r="H97" s="64">
        <f>H92*2</f>
        <v>5.6399999999999999E-2</v>
      </c>
      <c r="I97" s="363" t="s">
        <v>270</v>
      </c>
      <c r="J97" s="355">
        <f>H97-L97</f>
        <v>3.44E-2</v>
      </c>
      <c r="K97" s="363" t="s">
        <v>271</v>
      </c>
      <c r="L97" s="64">
        <f>L92*2</f>
        <v>2.1999999999999999E-2</v>
      </c>
      <c r="M97" s="363" t="s">
        <v>58</v>
      </c>
      <c r="N97" s="65">
        <v>30</v>
      </c>
      <c r="O97" s="363" t="s">
        <v>60</v>
      </c>
      <c r="P97" s="65">
        <v>30</v>
      </c>
      <c r="Q97" s="363" t="s">
        <v>61</v>
      </c>
      <c r="R97" s="65">
        <v>70</v>
      </c>
      <c r="S97" s="363" t="s">
        <v>62</v>
      </c>
      <c r="T97" s="65">
        <v>30</v>
      </c>
      <c r="U97" s="363" t="s">
        <v>55</v>
      </c>
      <c r="V97" s="66" t="s">
        <v>401</v>
      </c>
      <c r="W97" s="463" t="s">
        <v>394</v>
      </c>
      <c r="X97" s="465">
        <v>2.1</v>
      </c>
      <c r="Y97" s="463" t="s">
        <v>393</v>
      </c>
      <c r="Z97" s="358">
        <v>7</v>
      </c>
    </row>
    <row r="98" spans="1:26" x14ac:dyDescent="0.2">
      <c r="A98" s="362" t="s">
        <v>33</v>
      </c>
      <c r="B98" s="370">
        <v>0</v>
      </c>
      <c r="C98" s="371">
        <f>C93</f>
        <v>0.04</v>
      </c>
      <c r="D98" s="371">
        <f t="shared" ref="D98:X98" si="19">D93</f>
        <v>0.11600000000000001</v>
      </c>
      <c r="E98" s="371">
        <f t="shared" si="19"/>
        <v>0.21299999999999999</v>
      </c>
      <c r="F98" s="371">
        <f t="shared" si="19"/>
        <v>0.28599999999999998</v>
      </c>
      <c r="G98" s="371">
        <f t="shared" si="19"/>
        <v>0.32900000000000001</v>
      </c>
      <c r="H98" s="371">
        <f t="shared" si="19"/>
        <v>0.36899999999999999</v>
      </c>
      <c r="I98" s="371">
        <f t="shared" si="19"/>
        <v>0.42</v>
      </c>
      <c r="J98" s="371">
        <f t="shared" si="19"/>
        <v>0.495</v>
      </c>
      <c r="K98" s="371">
        <f t="shared" si="19"/>
        <v>0.59699999999999998</v>
      </c>
      <c r="L98" s="371">
        <f t="shared" si="19"/>
        <v>1.7110000000000001</v>
      </c>
      <c r="M98" s="371">
        <f t="shared" si="19"/>
        <v>1.8260000000000001</v>
      </c>
      <c r="N98" s="371">
        <f t="shared" si="19"/>
        <v>1.917</v>
      </c>
      <c r="O98" s="371">
        <f t="shared" si="19"/>
        <v>1.9750000000000001</v>
      </c>
      <c r="P98" s="371">
        <f t="shared" si="19"/>
        <v>2.206</v>
      </c>
      <c r="Q98" s="371">
        <f t="shared" si="19"/>
        <v>2.242</v>
      </c>
      <c r="R98" s="371">
        <f t="shared" si="19"/>
        <v>2.5</v>
      </c>
      <c r="S98" s="371">
        <f>S93</f>
        <v>2.5</v>
      </c>
      <c r="T98" s="371">
        <f t="shared" si="19"/>
        <v>2.5</v>
      </c>
      <c r="U98" s="371">
        <f t="shared" si="19"/>
        <v>2.5</v>
      </c>
      <c r="V98" s="371">
        <f t="shared" si="19"/>
        <v>2.5</v>
      </c>
      <c r="W98" s="371">
        <f t="shared" si="19"/>
        <v>2.5</v>
      </c>
      <c r="X98" s="371">
        <f t="shared" si="19"/>
        <v>2.5</v>
      </c>
      <c r="Y98" s="381">
        <v>1000</v>
      </c>
    </row>
    <row r="99" spans="1:26" x14ac:dyDescent="0.2">
      <c r="A99" s="378" t="s">
        <v>34</v>
      </c>
      <c r="B99" s="372">
        <f>B94*2</f>
        <v>0</v>
      </c>
      <c r="C99" s="373">
        <f t="shared" ref="C99:X99" si="20">C94*2</f>
        <v>4.2220000000000004</v>
      </c>
      <c r="D99" s="373">
        <f t="shared" si="20"/>
        <v>19.37</v>
      </c>
      <c r="E99" s="373">
        <f t="shared" si="20"/>
        <v>50</v>
      </c>
      <c r="F99" s="373">
        <f t="shared" si="20"/>
        <v>31.475999999999999</v>
      </c>
      <c r="G99" s="373">
        <f t="shared" si="20"/>
        <v>24.943999999999999</v>
      </c>
      <c r="H99" s="373">
        <f t="shared" si="20"/>
        <v>21.34</v>
      </c>
      <c r="I99" s="373">
        <f t="shared" si="20"/>
        <v>19.425999999999998</v>
      </c>
      <c r="J99" s="373">
        <f t="shared" si="20"/>
        <v>18.356000000000002</v>
      </c>
      <c r="K99" s="373">
        <f t="shared" si="20"/>
        <v>17.792000000000002</v>
      </c>
      <c r="L99" s="373">
        <f t="shared" si="20"/>
        <v>17.850000000000001</v>
      </c>
      <c r="M99" s="373">
        <f t="shared" si="20"/>
        <v>17.398</v>
      </c>
      <c r="N99" s="373">
        <f t="shared" si="20"/>
        <v>16.103999999999999</v>
      </c>
      <c r="O99" s="373">
        <f t="shared" si="20"/>
        <v>13.907999999999999</v>
      </c>
      <c r="P99" s="373">
        <f t="shared" si="20"/>
        <v>2.14</v>
      </c>
      <c r="Q99" s="373">
        <f t="shared" si="20"/>
        <v>0</v>
      </c>
      <c r="R99" s="373">
        <f t="shared" si="20"/>
        <v>0</v>
      </c>
      <c r="S99" s="373">
        <f t="shared" si="20"/>
        <v>0</v>
      </c>
      <c r="T99" s="373">
        <f t="shared" si="20"/>
        <v>0</v>
      </c>
      <c r="U99" s="373">
        <f t="shared" si="20"/>
        <v>0</v>
      </c>
      <c r="V99" s="373">
        <f t="shared" si="20"/>
        <v>0</v>
      </c>
      <c r="W99" s="373">
        <f t="shared" si="20"/>
        <v>0</v>
      </c>
      <c r="X99" s="373">
        <f t="shared" si="20"/>
        <v>0</v>
      </c>
      <c r="Y99" s="382">
        <v>0</v>
      </c>
    </row>
    <row r="100" spans="1:26" ht="13.5" thickBot="1" x14ac:dyDescent="0.25">
      <c r="A100" s="379" t="s">
        <v>117</v>
      </c>
      <c r="B100" s="374">
        <f t="shared" ref="B100:X100" si="21">(C99+B99)*(C98-B98)/2</f>
        <v>8.4440000000000015E-2</v>
      </c>
      <c r="C100" s="375">
        <f t="shared" si="21"/>
        <v>0.89649600000000018</v>
      </c>
      <c r="D100" s="375">
        <f t="shared" si="21"/>
        <v>3.3644449999999999</v>
      </c>
      <c r="E100" s="375">
        <f t="shared" si="21"/>
        <v>2.973873999999999</v>
      </c>
      <c r="F100" s="375">
        <f t="shared" si="21"/>
        <v>1.2130300000000012</v>
      </c>
      <c r="G100" s="375">
        <f t="shared" si="21"/>
        <v>0.9256799999999995</v>
      </c>
      <c r="H100" s="375">
        <f t="shared" si="21"/>
        <v>1.0395329999999998</v>
      </c>
      <c r="I100" s="375">
        <f t="shared" si="21"/>
        <v>1.416825</v>
      </c>
      <c r="J100" s="375">
        <f t="shared" si="21"/>
        <v>1.8435479999999997</v>
      </c>
      <c r="K100" s="375">
        <f t="shared" si="21"/>
        <v>19.852594000000003</v>
      </c>
      <c r="L100" s="375">
        <f t="shared" si="21"/>
        <v>2.0267599999999999</v>
      </c>
      <c r="M100" s="375">
        <f t="shared" si="21"/>
        <v>1.5243409999999993</v>
      </c>
      <c r="N100" s="375">
        <f t="shared" si="21"/>
        <v>0.87034800000000079</v>
      </c>
      <c r="O100" s="375">
        <f t="shared" si="21"/>
        <v>1.8535439999999987</v>
      </c>
      <c r="P100" s="375">
        <f t="shared" si="21"/>
        <v>3.8520000000000033E-2</v>
      </c>
      <c r="Q100" s="375">
        <f t="shared" si="21"/>
        <v>0</v>
      </c>
      <c r="R100" s="375">
        <f t="shared" si="21"/>
        <v>0</v>
      </c>
      <c r="S100" s="375">
        <f t="shared" si="21"/>
        <v>0</v>
      </c>
      <c r="T100" s="375">
        <f t="shared" si="21"/>
        <v>0</v>
      </c>
      <c r="U100" s="375">
        <f t="shared" si="21"/>
        <v>0</v>
      </c>
      <c r="V100" s="375">
        <f t="shared" si="21"/>
        <v>0</v>
      </c>
      <c r="W100" s="375">
        <f t="shared" si="21"/>
        <v>0</v>
      </c>
      <c r="X100" s="375">
        <f t="shared" si="21"/>
        <v>0</v>
      </c>
      <c r="Y100" s="369"/>
    </row>
    <row r="101" spans="1:26" ht="13.5" thickBo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6" ht="13.5" thickBot="1" x14ac:dyDescent="0.25">
      <c r="A102" s="361" t="s">
        <v>540</v>
      </c>
      <c r="B102" s="359">
        <f>ROW(A102)</f>
        <v>102</v>
      </c>
      <c r="C102" s="363" t="s">
        <v>116</v>
      </c>
      <c r="D102" s="353">
        <f>SUM(B105:Y105)</f>
        <v>59.885967000000008</v>
      </c>
      <c r="E102" s="363" t="s">
        <v>115</v>
      </c>
      <c r="F102" s="354">
        <f>D102/g/J102</f>
        <v>118.30588744280874</v>
      </c>
      <c r="G102" s="363" t="s">
        <v>57</v>
      </c>
      <c r="H102" s="64">
        <f>H92*3</f>
        <v>8.4599999999999995E-2</v>
      </c>
      <c r="I102" s="363" t="s">
        <v>270</v>
      </c>
      <c r="J102" s="355">
        <f>H102-L102</f>
        <v>5.1599999999999993E-2</v>
      </c>
      <c r="K102" s="363" t="s">
        <v>271</v>
      </c>
      <c r="L102" s="64">
        <f>L92*3</f>
        <v>3.3000000000000002E-2</v>
      </c>
      <c r="M102" s="363" t="s">
        <v>58</v>
      </c>
      <c r="N102" s="65">
        <v>30</v>
      </c>
      <c r="O102" s="363" t="s">
        <v>60</v>
      </c>
      <c r="P102" s="65">
        <v>30</v>
      </c>
      <c r="Q102" s="363" t="s">
        <v>61</v>
      </c>
      <c r="R102" s="65">
        <v>70</v>
      </c>
      <c r="S102" s="363" t="s">
        <v>62</v>
      </c>
      <c r="T102" s="65">
        <v>40</v>
      </c>
      <c r="U102" s="363" t="s">
        <v>55</v>
      </c>
      <c r="V102" s="66" t="s">
        <v>401</v>
      </c>
      <c r="W102" s="463" t="s">
        <v>394</v>
      </c>
      <c r="X102" s="465">
        <v>2.1</v>
      </c>
      <c r="Y102" s="463" t="s">
        <v>393</v>
      </c>
      <c r="Z102" s="358">
        <v>7</v>
      </c>
    </row>
    <row r="103" spans="1:26" x14ac:dyDescent="0.2">
      <c r="A103" s="362" t="s">
        <v>33</v>
      </c>
      <c r="B103" s="370">
        <v>0</v>
      </c>
      <c r="C103" s="371">
        <f>C93</f>
        <v>0.04</v>
      </c>
      <c r="D103" s="371">
        <f t="shared" ref="D103:X103" si="22">D93</f>
        <v>0.11600000000000001</v>
      </c>
      <c r="E103" s="371">
        <f t="shared" si="22"/>
        <v>0.21299999999999999</v>
      </c>
      <c r="F103" s="371">
        <f t="shared" si="22"/>
        <v>0.28599999999999998</v>
      </c>
      <c r="G103" s="371">
        <f t="shared" si="22"/>
        <v>0.32900000000000001</v>
      </c>
      <c r="H103" s="371">
        <f t="shared" si="22"/>
        <v>0.36899999999999999</v>
      </c>
      <c r="I103" s="371">
        <f t="shared" si="22"/>
        <v>0.42</v>
      </c>
      <c r="J103" s="371">
        <f t="shared" si="22"/>
        <v>0.495</v>
      </c>
      <c r="K103" s="371">
        <f t="shared" si="22"/>
        <v>0.59699999999999998</v>
      </c>
      <c r="L103" s="371">
        <f t="shared" si="22"/>
        <v>1.7110000000000001</v>
      </c>
      <c r="M103" s="371">
        <f t="shared" si="22"/>
        <v>1.8260000000000001</v>
      </c>
      <c r="N103" s="371">
        <f t="shared" si="22"/>
        <v>1.917</v>
      </c>
      <c r="O103" s="371">
        <f t="shared" si="22"/>
        <v>1.9750000000000001</v>
      </c>
      <c r="P103" s="371">
        <f t="shared" si="22"/>
        <v>2.206</v>
      </c>
      <c r="Q103" s="371">
        <f t="shared" si="22"/>
        <v>2.242</v>
      </c>
      <c r="R103" s="371">
        <f t="shared" si="22"/>
        <v>2.5</v>
      </c>
      <c r="S103" s="371">
        <f t="shared" si="22"/>
        <v>2.5</v>
      </c>
      <c r="T103" s="371">
        <f t="shared" si="22"/>
        <v>2.5</v>
      </c>
      <c r="U103" s="371">
        <f t="shared" si="22"/>
        <v>2.5</v>
      </c>
      <c r="V103" s="371">
        <f t="shared" si="22"/>
        <v>2.5</v>
      </c>
      <c r="W103" s="371">
        <f t="shared" si="22"/>
        <v>2.5</v>
      </c>
      <c r="X103" s="371">
        <f t="shared" si="22"/>
        <v>2.5</v>
      </c>
      <c r="Y103" s="381">
        <v>1000</v>
      </c>
    </row>
    <row r="104" spans="1:26" x14ac:dyDescent="0.2">
      <c r="A104" s="378" t="s">
        <v>34</v>
      </c>
      <c r="B104" s="372">
        <f>B94*3</f>
        <v>0</v>
      </c>
      <c r="C104" s="373">
        <f t="shared" ref="C104:X104" si="23">C94*3</f>
        <v>6.3330000000000002</v>
      </c>
      <c r="D104" s="373">
        <f t="shared" si="23"/>
        <v>29.055</v>
      </c>
      <c r="E104" s="373">
        <f t="shared" si="23"/>
        <v>75</v>
      </c>
      <c r="F104" s="373">
        <f t="shared" si="23"/>
        <v>47.213999999999999</v>
      </c>
      <c r="G104" s="373">
        <f t="shared" si="23"/>
        <v>37.415999999999997</v>
      </c>
      <c r="H104" s="373">
        <f t="shared" si="23"/>
        <v>32.01</v>
      </c>
      <c r="I104" s="373">
        <f t="shared" si="23"/>
        <v>29.138999999999996</v>
      </c>
      <c r="J104" s="373">
        <f t="shared" si="23"/>
        <v>27.534000000000002</v>
      </c>
      <c r="K104" s="373">
        <f t="shared" si="23"/>
        <v>26.688000000000002</v>
      </c>
      <c r="L104" s="373">
        <f t="shared" si="23"/>
        <v>26.775000000000002</v>
      </c>
      <c r="M104" s="373">
        <f t="shared" si="23"/>
        <v>26.097000000000001</v>
      </c>
      <c r="N104" s="373">
        <f t="shared" si="23"/>
        <v>24.155999999999999</v>
      </c>
      <c r="O104" s="373">
        <f t="shared" si="23"/>
        <v>20.861999999999998</v>
      </c>
      <c r="P104" s="373">
        <f t="shared" si="23"/>
        <v>3.21</v>
      </c>
      <c r="Q104" s="373">
        <f t="shared" si="23"/>
        <v>0</v>
      </c>
      <c r="R104" s="373">
        <f t="shared" si="23"/>
        <v>0</v>
      </c>
      <c r="S104" s="373">
        <f t="shared" si="23"/>
        <v>0</v>
      </c>
      <c r="T104" s="373">
        <f t="shared" si="23"/>
        <v>0</v>
      </c>
      <c r="U104" s="373">
        <f t="shared" si="23"/>
        <v>0</v>
      </c>
      <c r="V104" s="373">
        <f t="shared" si="23"/>
        <v>0</v>
      </c>
      <c r="W104" s="373">
        <f t="shared" si="23"/>
        <v>0</v>
      </c>
      <c r="X104" s="373">
        <f t="shared" si="23"/>
        <v>0</v>
      </c>
      <c r="Y104" s="382">
        <v>0</v>
      </c>
    </row>
    <row r="105" spans="1:26" ht="13.5" thickBot="1" x14ac:dyDescent="0.25">
      <c r="A105" s="379" t="s">
        <v>117</v>
      </c>
      <c r="B105" s="374">
        <f t="shared" ref="B105:X105" si="24">(C104+B104)*(C103-B103)/2</f>
        <v>0.12665999999999999</v>
      </c>
      <c r="C105" s="375">
        <f t="shared" si="24"/>
        <v>1.3447440000000002</v>
      </c>
      <c r="D105" s="375">
        <f t="shared" si="24"/>
        <v>5.0466674999999999</v>
      </c>
      <c r="E105" s="375">
        <f t="shared" si="24"/>
        <v>4.4608109999999987</v>
      </c>
      <c r="F105" s="375">
        <f t="shared" si="24"/>
        <v>1.8195450000000015</v>
      </c>
      <c r="G105" s="375">
        <f t="shared" si="24"/>
        <v>1.3885199999999991</v>
      </c>
      <c r="H105" s="375">
        <f t="shared" si="24"/>
        <v>1.5592994999999996</v>
      </c>
      <c r="I105" s="375">
        <f t="shared" si="24"/>
        <v>2.1252375000000003</v>
      </c>
      <c r="J105" s="375">
        <f t="shared" si="24"/>
        <v>2.7653219999999998</v>
      </c>
      <c r="K105" s="375">
        <f t="shared" si="24"/>
        <v>29.778891000000009</v>
      </c>
      <c r="L105" s="375">
        <f t="shared" si="24"/>
        <v>3.0401399999999996</v>
      </c>
      <c r="M105" s="375">
        <f t="shared" si="24"/>
        <v>2.2865114999999991</v>
      </c>
      <c r="N105" s="375">
        <f t="shared" si="24"/>
        <v>1.3055220000000012</v>
      </c>
      <c r="O105" s="375">
        <f t="shared" si="24"/>
        <v>2.7803159999999982</v>
      </c>
      <c r="P105" s="375">
        <f t="shared" si="24"/>
        <v>5.7780000000000054E-2</v>
      </c>
      <c r="Q105" s="375">
        <f t="shared" si="24"/>
        <v>0</v>
      </c>
      <c r="R105" s="375">
        <f t="shared" si="24"/>
        <v>0</v>
      </c>
      <c r="S105" s="375">
        <f t="shared" si="24"/>
        <v>0</v>
      </c>
      <c r="T105" s="375">
        <f t="shared" si="24"/>
        <v>0</v>
      </c>
      <c r="U105" s="375">
        <f t="shared" si="24"/>
        <v>0</v>
      </c>
      <c r="V105" s="375">
        <f t="shared" si="24"/>
        <v>0</v>
      </c>
      <c r="W105" s="375">
        <f t="shared" si="24"/>
        <v>0</v>
      </c>
      <c r="X105" s="375">
        <f t="shared" si="24"/>
        <v>0</v>
      </c>
      <c r="Y105" s="369"/>
    </row>
    <row r="107" spans="1:26" ht="13.5" thickBot="1" x14ac:dyDescent="0.25">
      <c r="A107" s="6" t="s">
        <v>316</v>
      </c>
    </row>
    <row r="108" spans="1:26" ht="13.5" thickBot="1" x14ac:dyDescent="0.25">
      <c r="A108" s="361" t="s">
        <v>319</v>
      </c>
      <c r="B108" s="359">
        <f>ROW(A108)</f>
        <v>108</v>
      </c>
      <c r="C108" s="363" t="s">
        <v>116</v>
      </c>
      <c r="D108" s="353">
        <f>SUM(B111:Y111)</f>
        <v>24.269519000000003</v>
      </c>
      <c r="E108" s="363" t="s">
        <v>115</v>
      </c>
      <c r="F108" s="354">
        <f>D108/g/J108</f>
        <v>154.62231778797147</v>
      </c>
      <c r="G108" s="363" t="s">
        <v>57</v>
      </c>
      <c r="H108" s="64">
        <v>5.1999999999999998E-2</v>
      </c>
      <c r="I108" s="363" t="s">
        <v>270</v>
      </c>
      <c r="J108" s="355">
        <f>H108-L108</f>
        <v>1.6E-2</v>
      </c>
      <c r="K108" s="363" t="s">
        <v>271</v>
      </c>
      <c r="L108" s="64">
        <v>3.5999999999999997E-2</v>
      </c>
      <c r="M108" s="363" t="s">
        <v>58</v>
      </c>
      <c r="N108" s="396">
        <v>35</v>
      </c>
      <c r="O108" s="363" t="s">
        <v>60</v>
      </c>
      <c r="P108" s="396">
        <v>35</v>
      </c>
      <c r="Q108" s="363" t="s">
        <v>61</v>
      </c>
      <c r="R108" s="65">
        <v>69</v>
      </c>
      <c r="S108" s="363" t="s">
        <v>62</v>
      </c>
      <c r="T108" s="65">
        <v>24</v>
      </c>
      <c r="U108" s="363" t="s">
        <v>55</v>
      </c>
      <c r="V108" s="66" t="s">
        <v>399</v>
      </c>
      <c r="W108" s="463" t="s">
        <v>394</v>
      </c>
      <c r="X108" s="465">
        <v>1</v>
      </c>
      <c r="Y108" s="463" t="s">
        <v>393</v>
      </c>
      <c r="Z108" s="358">
        <v>13</v>
      </c>
    </row>
    <row r="109" spans="1:26" x14ac:dyDescent="0.2">
      <c r="A109" s="362" t="s">
        <v>33</v>
      </c>
      <c r="B109" s="370">
        <v>0</v>
      </c>
      <c r="C109" s="371">
        <v>8.0000000000000002E-3</v>
      </c>
      <c r="D109" s="371">
        <v>2.5999999999999999E-2</v>
      </c>
      <c r="E109" s="371">
        <v>3.7999999999999999E-2</v>
      </c>
      <c r="F109" s="371">
        <v>6.7000000000000004E-2</v>
      </c>
      <c r="G109" s="371">
        <v>0.10100000000000001</v>
      </c>
      <c r="H109" s="371">
        <v>0.33</v>
      </c>
      <c r="I109" s="371">
        <v>0.52800000000000002</v>
      </c>
      <c r="J109" s="371">
        <v>0.71599999999999997</v>
      </c>
      <c r="K109" s="371">
        <v>0.84099999999999997</v>
      </c>
      <c r="L109" s="371">
        <v>0.91200000000000003</v>
      </c>
      <c r="M109" s="371">
        <v>0.98699999999999999</v>
      </c>
      <c r="N109" s="371">
        <v>1.016</v>
      </c>
      <c r="O109" s="371">
        <v>1.0649999999999999</v>
      </c>
      <c r="P109" s="371">
        <v>1.087</v>
      </c>
      <c r="Q109" s="371">
        <v>2</v>
      </c>
      <c r="R109" s="371">
        <v>2</v>
      </c>
      <c r="S109" s="371">
        <v>2</v>
      </c>
      <c r="T109" s="371">
        <v>2</v>
      </c>
      <c r="U109" s="371">
        <v>2</v>
      </c>
      <c r="V109" s="371">
        <v>2</v>
      </c>
      <c r="W109" s="371">
        <v>2</v>
      </c>
      <c r="X109" s="371">
        <v>2</v>
      </c>
      <c r="Y109" s="381">
        <v>1000</v>
      </c>
    </row>
    <row r="110" spans="1:26" x14ac:dyDescent="0.2">
      <c r="A110" s="378" t="s">
        <v>34</v>
      </c>
      <c r="B110" s="372">
        <v>0</v>
      </c>
      <c r="C110" s="373">
        <v>18.292000000000002</v>
      </c>
      <c r="D110" s="373">
        <v>30</v>
      </c>
      <c r="E110" s="373">
        <v>30.792000000000002</v>
      </c>
      <c r="F110" s="373">
        <v>18.707999999999998</v>
      </c>
      <c r="G110" s="373">
        <v>21.875</v>
      </c>
      <c r="H110" s="373">
        <v>26.082999999999998</v>
      </c>
      <c r="I110" s="373">
        <v>28.042000000000002</v>
      </c>
      <c r="J110" s="373">
        <v>27.875</v>
      </c>
      <c r="K110" s="373">
        <v>23.542000000000002</v>
      </c>
      <c r="L110" s="373">
        <v>17.832999999999998</v>
      </c>
      <c r="M110" s="373">
        <v>7</v>
      </c>
      <c r="N110" s="373">
        <v>3.3330000000000002</v>
      </c>
      <c r="O110" s="373">
        <v>1.083</v>
      </c>
      <c r="P110" s="373">
        <v>0</v>
      </c>
      <c r="Q110" s="373">
        <v>0</v>
      </c>
      <c r="R110" s="373">
        <v>0</v>
      </c>
      <c r="S110" s="373">
        <v>0</v>
      </c>
      <c r="T110" s="373">
        <f>S110</f>
        <v>0</v>
      </c>
      <c r="U110" s="373">
        <f>T110</f>
        <v>0</v>
      </c>
      <c r="V110" s="373">
        <f>U110</f>
        <v>0</v>
      </c>
      <c r="W110" s="373">
        <f>V110</f>
        <v>0</v>
      </c>
      <c r="X110" s="373">
        <f>W110</f>
        <v>0</v>
      </c>
      <c r="Y110" s="382">
        <v>0</v>
      </c>
    </row>
    <row r="111" spans="1:26" ht="13.5" thickBot="1" x14ac:dyDescent="0.25">
      <c r="A111" s="379" t="s">
        <v>117</v>
      </c>
      <c r="B111" s="374">
        <f t="shared" ref="B111:V111" si="25">(C110+B110)*(C109-B109)/2</f>
        <v>7.3168000000000011E-2</v>
      </c>
      <c r="C111" s="375">
        <f t="shared" si="25"/>
        <v>0.43462799999999996</v>
      </c>
      <c r="D111" s="375">
        <f t="shared" si="25"/>
        <v>0.36475200000000002</v>
      </c>
      <c r="E111" s="375">
        <f t="shared" si="25"/>
        <v>0.71775000000000011</v>
      </c>
      <c r="F111" s="375">
        <f t="shared" si="25"/>
        <v>0.68991100000000005</v>
      </c>
      <c r="G111" s="375">
        <f t="shared" si="25"/>
        <v>5.4911909999999997</v>
      </c>
      <c r="H111" s="375">
        <f t="shared" si="25"/>
        <v>5.3583750000000006</v>
      </c>
      <c r="I111" s="375">
        <f t="shared" si="25"/>
        <v>5.2561979999999986</v>
      </c>
      <c r="J111" s="375">
        <f>(K110+J110)*(K109-J109)/2</f>
        <v>3.2135625000000001</v>
      </c>
      <c r="K111" s="375">
        <f t="shared" si="25"/>
        <v>1.4688125000000014</v>
      </c>
      <c r="L111" s="375">
        <f t="shared" si="25"/>
        <v>0.93123749999999939</v>
      </c>
      <c r="M111" s="375">
        <f t="shared" si="25"/>
        <v>0.14982850000000014</v>
      </c>
      <c r="N111" s="375">
        <f t="shared" si="25"/>
        <v>0.10819199999999986</v>
      </c>
      <c r="O111" s="375">
        <f t="shared" si="25"/>
        <v>1.191300000000001E-2</v>
      </c>
      <c r="P111" s="375">
        <f t="shared" si="25"/>
        <v>0</v>
      </c>
      <c r="Q111" s="375">
        <f t="shared" si="25"/>
        <v>0</v>
      </c>
      <c r="R111" s="375">
        <f t="shared" si="25"/>
        <v>0</v>
      </c>
      <c r="S111" s="375">
        <f>(T110+S110)*(T109-S109)/2</f>
        <v>0</v>
      </c>
      <c r="T111" s="375">
        <f t="shared" si="25"/>
        <v>0</v>
      </c>
      <c r="U111" s="375">
        <f t="shared" si="25"/>
        <v>0</v>
      </c>
      <c r="V111" s="375">
        <f t="shared" si="25"/>
        <v>0</v>
      </c>
      <c r="W111" s="375">
        <f>(X110+W110)*(X109-W109)/2</f>
        <v>0</v>
      </c>
      <c r="X111" s="375">
        <f>(Y110+X110)*(Y109-X109)/2</f>
        <v>0</v>
      </c>
      <c r="Y111" s="369"/>
    </row>
    <row r="112" spans="1:26" ht="13.5" thickBot="1" x14ac:dyDescent="0.25"/>
    <row r="113" spans="1:26" ht="13.5" thickBot="1" x14ac:dyDescent="0.25">
      <c r="A113" s="361" t="s">
        <v>417</v>
      </c>
      <c r="B113" s="359">
        <f>ROW(A113)</f>
        <v>113</v>
      </c>
      <c r="C113" s="363" t="s">
        <v>116</v>
      </c>
      <c r="D113" s="353">
        <f>SUM(B116:Y116)</f>
        <v>24.488898000000002</v>
      </c>
      <c r="E113" s="363" t="s">
        <v>115</v>
      </c>
      <c r="F113" s="354">
        <f>D113/g/J113</f>
        <v>121.771701350041</v>
      </c>
      <c r="G113" s="363" t="s">
        <v>57</v>
      </c>
      <c r="H113" s="64">
        <v>5.6500000000000002E-2</v>
      </c>
      <c r="I113" s="363" t="s">
        <v>270</v>
      </c>
      <c r="J113" s="355">
        <f>H113-L113</f>
        <v>2.0500000000000004E-2</v>
      </c>
      <c r="K113" s="363" t="s">
        <v>271</v>
      </c>
      <c r="L113" s="64">
        <v>3.5999999999999997E-2</v>
      </c>
      <c r="M113" s="363" t="s">
        <v>58</v>
      </c>
      <c r="N113" s="396">
        <v>35</v>
      </c>
      <c r="O113" s="363" t="s">
        <v>60</v>
      </c>
      <c r="P113" s="396">
        <v>35</v>
      </c>
      <c r="Q113" s="363" t="s">
        <v>61</v>
      </c>
      <c r="R113" s="65">
        <v>69</v>
      </c>
      <c r="S113" s="363" t="s">
        <v>62</v>
      </c>
      <c r="T113" s="65">
        <v>24</v>
      </c>
      <c r="U113" s="363" t="s">
        <v>55</v>
      </c>
      <c r="V113" s="66" t="s">
        <v>400</v>
      </c>
      <c r="W113" s="463" t="s">
        <v>394</v>
      </c>
      <c r="X113" s="465">
        <v>0.33</v>
      </c>
      <c r="Y113" s="463" t="s">
        <v>393</v>
      </c>
      <c r="Z113" s="358">
        <v>17</v>
      </c>
    </row>
    <row r="114" spans="1:26" x14ac:dyDescent="0.2">
      <c r="A114" s="362" t="s">
        <v>33</v>
      </c>
      <c r="B114" s="370">
        <v>0</v>
      </c>
      <c r="C114" s="371">
        <v>8.9999999999999993E-3</v>
      </c>
      <c r="D114" s="371">
        <v>1.2E-2</v>
      </c>
      <c r="E114" s="371">
        <v>2.3E-2</v>
      </c>
      <c r="F114" s="371">
        <v>2.7E-2</v>
      </c>
      <c r="G114" s="371">
        <v>4.7E-2</v>
      </c>
      <c r="H114" s="371">
        <v>9.1999999999999998E-2</v>
      </c>
      <c r="I114" s="371">
        <v>0.11799999999999999</v>
      </c>
      <c r="J114" s="371">
        <v>0.14099999999999999</v>
      </c>
      <c r="K114" s="371">
        <v>0.192</v>
      </c>
      <c r="L114" s="371">
        <v>0.222</v>
      </c>
      <c r="M114" s="371">
        <v>0.25</v>
      </c>
      <c r="N114" s="371">
        <v>0.26</v>
      </c>
      <c r="O114" s="371">
        <v>0.28100000000000003</v>
      </c>
      <c r="P114" s="371">
        <v>0.28699999999999998</v>
      </c>
      <c r="Q114" s="371">
        <v>0.30599999999999999</v>
      </c>
      <c r="R114" s="371">
        <v>0.314</v>
      </c>
      <c r="S114" s="371">
        <v>0.32600000000000001</v>
      </c>
      <c r="T114" s="371">
        <v>0.32900000000000001</v>
      </c>
      <c r="U114" s="371">
        <v>0.5</v>
      </c>
      <c r="V114" s="371">
        <v>1</v>
      </c>
      <c r="W114" s="371">
        <v>2</v>
      </c>
      <c r="X114" s="371">
        <v>2</v>
      </c>
      <c r="Y114" s="381">
        <v>1000</v>
      </c>
    </row>
    <row r="115" spans="1:26" x14ac:dyDescent="0.2">
      <c r="A115" s="378" t="s">
        <v>34</v>
      </c>
      <c r="B115" s="372">
        <v>0</v>
      </c>
      <c r="C115" s="373">
        <v>84.212999999999994</v>
      </c>
      <c r="D115" s="373">
        <v>95.099000000000004</v>
      </c>
      <c r="E115" s="373">
        <v>77.08</v>
      </c>
      <c r="F115" s="373">
        <v>68.697000000000003</v>
      </c>
      <c r="G115" s="373">
        <v>73.451999999999998</v>
      </c>
      <c r="H115" s="373">
        <v>81.834999999999994</v>
      </c>
      <c r="I115" s="373">
        <v>83.837000000000003</v>
      </c>
      <c r="J115" s="373">
        <v>86.465000000000003</v>
      </c>
      <c r="K115" s="373">
        <v>86.965999999999994</v>
      </c>
      <c r="L115" s="373">
        <v>85.338999999999999</v>
      </c>
      <c r="M115" s="373">
        <v>80.082999999999998</v>
      </c>
      <c r="N115" s="373">
        <v>78.331999999999994</v>
      </c>
      <c r="O115" s="373">
        <v>82.960999999999999</v>
      </c>
      <c r="P115" s="373">
        <v>78.206000000000003</v>
      </c>
      <c r="Q115" s="373">
        <v>24.776</v>
      </c>
      <c r="R115" s="373">
        <v>14.14</v>
      </c>
      <c r="S115" s="373">
        <v>8.5090000000000003</v>
      </c>
      <c r="T115" s="373">
        <v>0</v>
      </c>
      <c r="U115" s="373">
        <f>T115</f>
        <v>0</v>
      </c>
      <c r="V115" s="373">
        <f>U115</f>
        <v>0</v>
      </c>
      <c r="W115" s="373">
        <f>V115</f>
        <v>0</v>
      </c>
      <c r="X115" s="373">
        <f>W115</f>
        <v>0</v>
      </c>
      <c r="Y115" s="382">
        <v>0</v>
      </c>
    </row>
    <row r="116" spans="1:26" ht="13.5" thickBot="1" x14ac:dyDescent="0.25">
      <c r="A116" s="379" t="s">
        <v>117</v>
      </c>
      <c r="B116" s="374">
        <f t="shared" ref="B116:V116" si="26">(C115+B115)*(C114-B114)/2</f>
        <v>0.37895849999999992</v>
      </c>
      <c r="C116" s="375">
        <f t="shared" si="26"/>
        <v>0.2689680000000001</v>
      </c>
      <c r="D116" s="375">
        <f t="shared" si="26"/>
        <v>0.94698450000000001</v>
      </c>
      <c r="E116" s="375">
        <f t="shared" si="26"/>
        <v>0.29155399999999998</v>
      </c>
      <c r="F116" s="375">
        <f t="shared" si="26"/>
        <v>1.4214900000000001</v>
      </c>
      <c r="G116" s="375">
        <f t="shared" si="26"/>
        <v>3.4939574999999992</v>
      </c>
      <c r="H116" s="375">
        <f t="shared" si="26"/>
        <v>2.1537359999999994</v>
      </c>
      <c r="I116" s="375">
        <f t="shared" si="26"/>
        <v>1.9584729999999997</v>
      </c>
      <c r="J116" s="375">
        <f>(K115+J115)*(K114-J114)/2</f>
        <v>4.4224905000000012</v>
      </c>
      <c r="K116" s="375">
        <f t="shared" si="26"/>
        <v>2.5845750000000001</v>
      </c>
      <c r="L116" s="375">
        <f t="shared" si="26"/>
        <v>2.3159079999999999</v>
      </c>
      <c r="M116" s="375">
        <f t="shared" si="26"/>
        <v>0.79207500000000064</v>
      </c>
      <c r="N116" s="375">
        <f t="shared" si="26"/>
        <v>1.6935765000000016</v>
      </c>
      <c r="O116" s="375">
        <f t="shared" si="26"/>
        <v>0.48350099999999596</v>
      </c>
      <c r="P116" s="375">
        <f t="shared" si="26"/>
        <v>0.97832900000000089</v>
      </c>
      <c r="Q116" s="375">
        <f t="shared" si="26"/>
        <v>0.15566400000000014</v>
      </c>
      <c r="R116" s="375">
        <f t="shared" si="26"/>
        <v>0.13589400000000013</v>
      </c>
      <c r="S116" s="375">
        <f>(T115+S115)*(T114-S114)/2</f>
        <v>1.2763500000000013E-2</v>
      </c>
      <c r="T116" s="375">
        <f t="shared" si="26"/>
        <v>0</v>
      </c>
      <c r="U116" s="375">
        <f t="shared" si="26"/>
        <v>0</v>
      </c>
      <c r="V116" s="375">
        <f t="shared" si="26"/>
        <v>0</v>
      </c>
      <c r="W116" s="375">
        <f>(X115+W115)*(X114-W114)/2</f>
        <v>0</v>
      </c>
      <c r="X116" s="375">
        <f>(Y115+X115)*(Y114-X114)/2</f>
        <v>0</v>
      </c>
      <c r="Y116" s="369"/>
    </row>
    <row r="117" spans="1:26" ht="13.5" thickBot="1" x14ac:dyDescent="0.25"/>
    <row r="118" spans="1:26" ht="13.5" thickBot="1" x14ac:dyDescent="0.25">
      <c r="A118" s="361" t="s">
        <v>320</v>
      </c>
      <c r="B118" s="359">
        <f>ROW(A118)</f>
        <v>118</v>
      </c>
      <c r="C118" s="363" t="s">
        <v>116</v>
      </c>
      <c r="D118" s="353">
        <f>SUM(B121:Y121)</f>
        <v>26.083982500000001</v>
      </c>
      <c r="E118" s="363" t="s">
        <v>115</v>
      </c>
      <c r="F118" s="354">
        <f>D118/g/J118</f>
        <v>166.18235537716615</v>
      </c>
      <c r="G118" s="363" t="s">
        <v>57</v>
      </c>
      <c r="H118" s="64">
        <v>5.1999999999999998E-2</v>
      </c>
      <c r="I118" s="363" t="s">
        <v>270</v>
      </c>
      <c r="J118" s="355">
        <f>H118-L118</f>
        <v>1.6E-2</v>
      </c>
      <c r="K118" s="363" t="s">
        <v>271</v>
      </c>
      <c r="L118" s="64">
        <v>3.5999999999999997E-2</v>
      </c>
      <c r="M118" s="363" t="s">
        <v>58</v>
      </c>
      <c r="N118" s="396">
        <v>35</v>
      </c>
      <c r="O118" s="363" t="s">
        <v>60</v>
      </c>
      <c r="P118" s="396">
        <v>35</v>
      </c>
      <c r="Q118" s="363" t="s">
        <v>61</v>
      </c>
      <c r="R118" s="65">
        <v>69</v>
      </c>
      <c r="S118" s="363" t="s">
        <v>62</v>
      </c>
      <c r="T118" s="65">
        <v>24</v>
      </c>
      <c r="U118" s="363" t="s">
        <v>55</v>
      </c>
      <c r="V118" s="66" t="s">
        <v>399</v>
      </c>
      <c r="W118" s="463" t="s">
        <v>394</v>
      </c>
      <c r="X118" s="465">
        <v>0.85</v>
      </c>
      <c r="Y118" s="463" t="s">
        <v>393</v>
      </c>
      <c r="Z118" s="358">
        <v>15</v>
      </c>
    </row>
    <row r="119" spans="1:26" x14ac:dyDescent="0.2">
      <c r="A119" s="362" t="s">
        <v>33</v>
      </c>
      <c r="B119" s="370">
        <v>0</v>
      </c>
      <c r="C119" s="371">
        <v>0.02</v>
      </c>
      <c r="D119" s="371">
        <v>2.7E-2</v>
      </c>
      <c r="E119" s="371">
        <v>4.9000000000000002E-2</v>
      </c>
      <c r="F119" s="371">
        <v>0.113</v>
      </c>
      <c r="G119" s="371">
        <v>0.193</v>
      </c>
      <c r="H119" s="371">
        <v>0.28199999999999997</v>
      </c>
      <c r="I119" s="371">
        <v>0.5</v>
      </c>
      <c r="J119" s="371">
        <v>0.72699999999999998</v>
      </c>
      <c r="K119" s="371">
        <v>0.77100000000000002</v>
      </c>
      <c r="L119" s="371">
        <v>0.80700000000000005</v>
      </c>
      <c r="M119" s="371">
        <v>0.84</v>
      </c>
      <c r="N119" s="371">
        <v>0.87</v>
      </c>
      <c r="O119" s="371">
        <v>1</v>
      </c>
      <c r="P119" s="371">
        <v>1</v>
      </c>
      <c r="Q119" s="371">
        <v>1</v>
      </c>
      <c r="R119" s="371">
        <v>1</v>
      </c>
      <c r="S119" s="371">
        <v>1</v>
      </c>
      <c r="T119" s="371">
        <v>1</v>
      </c>
      <c r="U119" s="371">
        <v>1</v>
      </c>
      <c r="V119" s="371">
        <v>1</v>
      </c>
      <c r="W119" s="371">
        <v>1</v>
      </c>
      <c r="X119" s="371">
        <v>2</v>
      </c>
      <c r="Y119" s="381">
        <v>1000</v>
      </c>
    </row>
    <row r="120" spans="1:26" x14ac:dyDescent="0.2">
      <c r="A120" s="378" t="s">
        <v>34</v>
      </c>
      <c r="B120" s="372">
        <v>0</v>
      </c>
      <c r="C120" s="373">
        <v>43.823999999999998</v>
      </c>
      <c r="D120" s="373">
        <v>39.963999999999999</v>
      </c>
      <c r="E120" s="373">
        <v>26.780999999999999</v>
      </c>
      <c r="F120" s="373">
        <v>32.600999999999999</v>
      </c>
      <c r="G120" s="373">
        <v>34.738999999999997</v>
      </c>
      <c r="H120" s="373">
        <v>35.808</v>
      </c>
      <c r="I120" s="373">
        <v>34.442</v>
      </c>
      <c r="J120" s="373">
        <v>29.276</v>
      </c>
      <c r="K120" s="373">
        <v>22.742999999999999</v>
      </c>
      <c r="L120" s="373">
        <v>9.5609999999999999</v>
      </c>
      <c r="M120" s="373">
        <v>3.5630000000000002</v>
      </c>
      <c r="N120" s="373">
        <v>0</v>
      </c>
      <c r="O120" s="373">
        <v>0</v>
      </c>
      <c r="P120" s="373">
        <v>0</v>
      </c>
      <c r="Q120" s="373">
        <v>0</v>
      </c>
      <c r="R120" s="373">
        <v>0</v>
      </c>
      <c r="S120" s="373">
        <v>0</v>
      </c>
      <c r="T120" s="373">
        <f>S120</f>
        <v>0</v>
      </c>
      <c r="U120" s="373">
        <f>T120</f>
        <v>0</v>
      </c>
      <c r="V120" s="373">
        <f>U120</f>
        <v>0</v>
      </c>
      <c r="W120" s="373">
        <f>V120</f>
        <v>0</v>
      </c>
      <c r="X120" s="373">
        <f>W120</f>
        <v>0</v>
      </c>
      <c r="Y120" s="382">
        <v>0</v>
      </c>
    </row>
    <row r="121" spans="1:26" ht="13.5" thickBot="1" x14ac:dyDescent="0.25">
      <c r="A121" s="379" t="s">
        <v>117</v>
      </c>
      <c r="B121" s="374">
        <f t="shared" ref="B121:V121" si="27">(C120+B120)*(C119-B119)/2</f>
        <v>0.43823999999999996</v>
      </c>
      <c r="C121" s="375">
        <f t="shared" si="27"/>
        <v>0.29325799999999996</v>
      </c>
      <c r="D121" s="375">
        <f t="shared" si="27"/>
        <v>0.73419500000000015</v>
      </c>
      <c r="E121" s="375">
        <f t="shared" si="27"/>
        <v>1.9002239999999999</v>
      </c>
      <c r="F121" s="375">
        <f t="shared" si="27"/>
        <v>2.6936</v>
      </c>
      <c r="G121" s="375">
        <f t="shared" si="27"/>
        <v>3.1393414999999987</v>
      </c>
      <c r="H121" s="375">
        <f t="shared" si="27"/>
        <v>7.6572500000000012</v>
      </c>
      <c r="I121" s="375">
        <f t="shared" si="27"/>
        <v>7.2319930000000001</v>
      </c>
      <c r="J121" s="375">
        <f>(K120+J120)*(K119-J119)/2</f>
        <v>1.144418000000001</v>
      </c>
      <c r="K121" s="375">
        <f t="shared" si="27"/>
        <v>0.58147200000000054</v>
      </c>
      <c r="L121" s="375">
        <f t="shared" si="27"/>
        <v>0.21654599999999946</v>
      </c>
      <c r="M121" s="375">
        <f t="shared" si="27"/>
        <v>5.3445000000000048E-2</v>
      </c>
      <c r="N121" s="375">
        <f t="shared" si="27"/>
        <v>0</v>
      </c>
      <c r="O121" s="375">
        <f t="shared" si="27"/>
        <v>0</v>
      </c>
      <c r="P121" s="375">
        <f t="shared" si="27"/>
        <v>0</v>
      </c>
      <c r="Q121" s="375">
        <f t="shared" si="27"/>
        <v>0</v>
      </c>
      <c r="R121" s="375">
        <f t="shared" si="27"/>
        <v>0</v>
      </c>
      <c r="S121" s="375">
        <f>(T120+S120)*(T119-S119)/2</f>
        <v>0</v>
      </c>
      <c r="T121" s="375">
        <f t="shared" si="27"/>
        <v>0</v>
      </c>
      <c r="U121" s="375">
        <f t="shared" si="27"/>
        <v>0</v>
      </c>
      <c r="V121" s="375">
        <f t="shared" si="27"/>
        <v>0</v>
      </c>
      <c r="W121" s="375">
        <f>(X120+W120)*(X119-W119)/2</f>
        <v>0</v>
      </c>
      <c r="X121" s="375">
        <f>(Y120+X120)*(Y119-X119)/2</f>
        <v>0</v>
      </c>
      <c r="Y121" s="369"/>
    </row>
    <row r="122" spans="1:26" ht="13.5" thickBot="1" x14ac:dyDescent="0.25">
      <c r="A122" s="6" t="s">
        <v>389</v>
      </c>
    </row>
    <row r="123" spans="1:26" ht="13.5" thickBot="1" x14ac:dyDescent="0.25">
      <c r="A123" s="361" t="s">
        <v>390</v>
      </c>
      <c r="B123" s="359">
        <f>ROW(A123)</f>
        <v>123</v>
      </c>
      <c r="C123" s="363" t="s">
        <v>116</v>
      </c>
      <c r="D123" s="353">
        <f>SUM(B126:Y126)</f>
        <v>49.788765499999997</v>
      </c>
      <c r="E123" s="363" t="s">
        <v>115</v>
      </c>
      <c r="F123" s="354">
        <v>231</v>
      </c>
      <c r="G123" s="363" t="s">
        <v>57</v>
      </c>
      <c r="H123" s="64">
        <v>7.2999999999999995E-2</v>
      </c>
      <c r="I123" s="363" t="s">
        <v>270</v>
      </c>
      <c r="J123" s="355">
        <f>H123-L123</f>
        <v>2.7999999999999997E-2</v>
      </c>
      <c r="K123" s="363" t="s">
        <v>271</v>
      </c>
      <c r="L123" s="64">
        <v>4.4999999999999998E-2</v>
      </c>
      <c r="M123" s="363" t="s">
        <v>58</v>
      </c>
      <c r="N123" s="396">
        <v>50</v>
      </c>
      <c r="O123" s="363" t="s">
        <v>60</v>
      </c>
      <c r="P123" s="396">
        <v>50</v>
      </c>
      <c r="Q123" s="363" t="s">
        <v>61</v>
      </c>
      <c r="R123" s="65">
        <v>101</v>
      </c>
      <c r="S123" s="363" t="s">
        <v>62</v>
      </c>
      <c r="T123" s="65">
        <v>24</v>
      </c>
      <c r="U123" s="363" t="s">
        <v>55</v>
      </c>
      <c r="V123" s="66" t="s">
        <v>120</v>
      </c>
      <c r="W123" s="463" t="s">
        <v>394</v>
      </c>
      <c r="X123" s="465">
        <v>1</v>
      </c>
      <c r="Y123" s="463" t="s">
        <v>393</v>
      </c>
      <c r="Z123" s="358">
        <v>13</v>
      </c>
    </row>
    <row r="124" spans="1:26" x14ac:dyDescent="0.2">
      <c r="A124" s="362" t="s">
        <v>33</v>
      </c>
      <c r="B124" s="471">
        <v>0</v>
      </c>
      <c r="C124" s="471">
        <v>1E-3</v>
      </c>
      <c r="D124" s="471">
        <v>2.7E-2</v>
      </c>
      <c r="E124" s="471">
        <v>5.0999999999999997E-2</v>
      </c>
      <c r="F124" s="471">
        <v>0.06</v>
      </c>
      <c r="G124" s="471">
        <v>9.1999999999999998E-2</v>
      </c>
      <c r="H124" s="471">
        <v>0.11899999999999999</v>
      </c>
      <c r="I124" s="471">
        <v>0.17</v>
      </c>
      <c r="J124" s="471">
        <v>0.3</v>
      </c>
      <c r="K124" s="471">
        <v>0.46200000000000002</v>
      </c>
      <c r="L124" s="471">
        <v>0.56899999999999995</v>
      </c>
      <c r="M124" s="471">
        <v>0.67500000000000004</v>
      </c>
      <c r="N124" s="471">
        <v>0.77800000000000002</v>
      </c>
      <c r="O124" s="471">
        <v>0.84599999999999997</v>
      </c>
      <c r="P124" s="471">
        <v>0.91700000000000004</v>
      </c>
      <c r="Q124" s="471">
        <v>1.0089999999999999</v>
      </c>
      <c r="R124" s="471">
        <v>1.032</v>
      </c>
      <c r="S124" s="471">
        <v>1.0449999999999999</v>
      </c>
      <c r="T124" s="371">
        <v>2</v>
      </c>
      <c r="U124" s="371">
        <v>2</v>
      </c>
      <c r="V124" s="371">
        <v>2</v>
      </c>
      <c r="W124" s="371">
        <v>2</v>
      </c>
      <c r="X124" s="371">
        <v>2</v>
      </c>
      <c r="Y124" s="381">
        <v>1000</v>
      </c>
    </row>
    <row r="125" spans="1:26" x14ac:dyDescent="0.2">
      <c r="A125" s="378" t="s">
        <v>34</v>
      </c>
      <c r="B125" s="471">
        <v>0</v>
      </c>
      <c r="C125" s="471">
        <v>5.1449999999999996</v>
      </c>
      <c r="D125" s="471">
        <v>67.975999999999999</v>
      </c>
      <c r="E125" s="471">
        <v>53.807000000000002</v>
      </c>
      <c r="F125" s="471">
        <v>52.88</v>
      </c>
      <c r="G125" s="471">
        <v>55.915999999999997</v>
      </c>
      <c r="H125" s="471">
        <v>57.94</v>
      </c>
      <c r="I125" s="471">
        <v>59.710999999999999</v>
      </c>
      <c r="J125" s="471">
        <v>61.145000000000003</v>
      </c>
      <c r="K125" s="471">
        <v>58.951999999999998</v>
      </c>
      <c r="L125" s="471">
        <v>55.578000000000003</v>
      </c>
      <c r="M125" s="471">
        <v>52.204999999999998</v>
      </c>
      <c r="N125" s="471">
        <v>46.386000000000003</v>
      </c>
      <c r="O125" s="471">
        <v>38.119999999999997</v>
      </c>
      <c r="P125" s="471">
        <v>20.324999999999999</v>
      </c>
      <c r="Q125" s="471">
        <v>3.5419999999999998</v>
      </c>
      <c r="R125" s="471">
        <v>1.6020000000000001</v>
      </c>
      <c r="S125" s="471">
        <v>0</v>
      </c>
      <c r="T125" s="373">
        <f>S125</f>
        <v>0</v>
      </c>
      <c r="U125" s="373">
        <f>T125</f>
        <v>0</v>
      </c>
      <c r="V125" s="373">
        <f>U125</f>
        <v>0</v>
      </c>
      <c r="W125" s="373">
        <f>V125</f>
        <v>0</v>
      </c>
      <c r="X125" s="373">
        <f>W125</f>
        <v>0</v>
      </c>
      <c r="Y125" s="382">
        <v>0</v>
      </c>
    </row>
    <row r="126" spans="1:26" ht="13.5" thickBot="1" x14ac:dyDescent="0.25">
      <c r="A126" s="379" t="s">
        <v>117</v>
      </c>
      <c r="B126" s="374">
        <f t="shared" ref="B126:X126" si="28">(C125+B125)*(C124-B124)/2</f>
        <v>2.5724999999999997E-3</v>
      </c>
      <c r="C126" s="375">
        <f t="shared" si="28"/>
        <v>0.95057299999999989</v>
      </c>
      <c r="D126" s="375">
        <f t="shared" si="28"/>
        <v>1.4613959999999999</v>
      </c>
      <c r="E126" s="375">
        <f t="shared" si="28"/>
        <v>0.48009150000000012</v>
      </c>
      <c r="F126" s="375">
        <f t="shared" si="28"/>
        <v>1.7407359999999998</v>
      </c>
      <c r="G126" s="375">
        <f t="shared" si="28"/>
        <v>1.5370559999999998</v>
      </c>
      <c r="H126" s="375">
        <f t="shared" si="28"/>
        <v>3.0001005000000007</v>
      </c>
      <c r="I126" s="375">
        <f t="shared" si="28"/>
        <v>7.8556399999999984</v>
      </c>
      <c r="J126" s="375">
        <f t="shared" si="28"/>
        <v>9.727857000000002</v>
      </c>
      <c r="K126" s="375">
        <f t="shared" si="28"/>
        <v>6.1273549999999961</v>
      </c>
      <c r="L126" s="375">
        <f t="shared" si="28"/>
        <v>5.7124990000000055</v>
      </c>
      <c r="M126" s="375">
        <f t="shared" si="28"/>
        <v>5.0774364999999992</v>
      </c>
      <c r="N126" s="375">
        <f t="shared" si="28"/>
        <v>2.8732039999999976</v>
      </c>
      <c r="O126" s="375">
        <f t="shared" si="28"/>
        <v>2.0747975000000016</v>
      </c>
      <c r="P126" s="375">
        <f t="shared" si="28"/>
        <v>1.0978819999999982</v>
      </c>
      <c r="Q126" s="375">
        <f t="shared" si="28"/>
        <v>5.915600000000034E-2</v>
      </c>
      <c r="R126" s="375">
        <f t="shared" si="28"/>
        <v>1.0412999999999921E-2</v>
      </c>
      <c r="S126" s="375">
        <f t="shared" si="28"/>
        <v>0</v>
      </c>
      <c r="T126" s="375">
        <f t="shared" si="28"/>
        <v>0</v>
      </c>
      <c r="U126" s="375">
        <f t="shared" si="28"/>
        <v>0</v>
      </c>
      <c r="V126" s="375">
        <f t="shared" si="28"/>
        <v>0</v>
      </c>
      <c r="W126" s="375">
        <f t="shared" si="28"/>
        <v>0</v>
      </c>
      <c r="X126" s="375">
        <f t="shared" si="28"/>
        <v>0</v>
      </c>
      <c r="Y126" s="369"/>
    </row>
    <row r="127" spans="1:26" ht="13.5" thickBot="1" x14ac:dyDescent="0.25"/>
    <row r="128" spans="1:26" ht="13.5" thickBot="1" x14ac:dyDescent="0.25">
      <c r="A128" s="361" t="s">
        <v>391</v>
      </c>
      <c r="B128" s="359">
        <f>ROW(A128)</f>
        <v>128</v>
      </c>
      <c r="C128" s="363" t="s">
        <v>116</v>
      </c>
      <c r="D128" s="353">
        <f>SUM(B131:Y131)</f>
        <v>52.815674000000008</v>
      </c>
      <c r="E128" s="363" t="s">
        <v>115</v>
      </c>
      <c r="F128" s="354">
        <v>239</v>
      </c>
      <c r="G128" s="363" t="s">
        <v>57</v>
      </c>
      <c r="H128" s="64">
        <v>7.2999999999999995E-2</v>
      </c>
      <c r="I128" s="363" t="s">
        <v>270</v>
      </c>
      <c r="J128" s="355">
        <f>H128-L128</f>
        <v>2.8999999999999998E-2</v>
      </c>
      <c r="K128" s="363" t="s">
        <v>271</v>
      </c>
      <c r="L128" s="64">
        <v>4.3999999999999997E-2</v>
      </c>
      <c r="M128" s="363" t="s">
        <v>58</v>
      </c>
      <c r="N128" s="396">
        <v>50</v>
      </c>
      <c r="O128" s="363" t="s">
        <v>60</v>
      </c>
      <c r="P128" s="396">
        <v>50</v>
      </c>
      <c r="Q128" s="363" t="s">
        <v>61</v>
      </c>
      <c r="R128" s="65">
        <v>101</v>
      </c>
      <c r="S128" s="363" t="s">
        <v>62</v>
      </c>
      <c r="T128" s="65">
        <v>24</v>
      </c>
      <c r="U128" s="363" t="s">
        <v>55</v>
      </c>
      <c r="V128" s="66" t="s">
        <v>120</v>
      </c>
      <c r="W128" s="463" t="s">
        <v>394</v>
      </c>
      <c r="X128" s="465">
        <v>0.77</v>
      </c>
      <c r="Y128" s="463" t="s">
        <v>393</v>
      </c>
      <c r="Z128" s="358">
        <v>14</v>
      </c>
    </row>
    <row r="129" spans="1:26" x14ac:dyDescent="0.2">
      <c r="A129" s="362" t="s">
        <v>33</v>
      </c>
      <c r="B129" s="471">
        <v>0</v>
      </c>
      <c r="C129" s="471">
        <v>1E-3</v>
      </c>
      <c r="D129" s="471">
        <v>1.2999999999999999E-2</v>
      </c>
      <c r="E129" s="471">
        <v>2.3E-2</v>
      </c>
      <c r="F129" s="471">
        <v>5.1999999999999998E-2</v>
      </c>
      <c r="G129" s="471">
        <v>0.1</v>
      </c>
      <c r="H129" s="471">
        <v>0.379</v>
      </c>
      <c r="I129" s="471">
        <v>0.64100000000000001</v>
      </c>
      <c r="J129" s="471">
        <v>0.66500000000000004</v>
      </c>
      <c r="K129" s="471">
        <v>0.70599999999999996</v>
      </c>
      <c r="L129" s="471">
        <v>0.74399999999999999</v>
      </c>
      <c r="M129" s="471">
        <v>0.78700000000000003</v>
      </c>
      <c r="N129" s="471">
        <v>0.81599999999999995</v>
      </c>
      <c r="O129" s="371">
        <v>1</v>
      </c>
      <c r="P129" s="371">
        <v>1</v>
      </c>
      <c r="Q129" s="371">
        <v>1</v>
      </c>
      <c r="R129" s="371">
        <v>1</v>
      </c>
      <c r="S129" s="371">
        <v>1</v>
      </c>
      <c r="T129" s="371">
        <v>1</v>
      </c>
      <c r="U129" s="371">
        <v>1</v>
      </c>
      <c r="V129" s="371">
        <v>1</v>
      </c>
      <c r="W129" s="371">
        <v>2</v>
      </c>
      <c r="X129" s="371">
        <v>2</v>
      </c>
      <c r="Y129" s="381">
        <v>1000</v>
      </c>
    </row>
    <row r="130" spans="1:26" x14ac:dyDescent="0.2">
      <c r="A130" s="378" t="s">
        <v>34</v>
      </c>
      <c r="B130" s="471">
        <v>0</v>
      </c>
      <c r="C130" s="471">
        <v>8.3030000000000008</v>
      </c>
      <c r="D130" s="471">
        <v>85.68</v>
      </c>
      <c r="E130" s="471">
        <v>96.149000000000001</v>
      </c>
      <c r="F130" s="471">
        <v>78.820999999999998</v>
      </c>
      <c r="G130" s="471">
        <v>83.634</v>
      </c>
      <c r="H130" s="471">
        <v>77.858000000000004</v>
      </c>
      <c r="I130" s="471">
        <v>62.575000000000003</v>
      </c>
      <c r="J130" s="471">
        <v>55.716000000000001</v>
      </c>
      <c r="K130" s="471">
        <v>23.946999999999999</v>
      </c>
      <c r="L130" s="471">
        <v>9.1460000000000008</v>
      </c>
      <c r="M130" s="471">
        <v>2.7679999999999998</v>
      </c>
      <c r="N130" s="471">
        <v>0</v>
      </c>
      <c r="O130" s="373">
        <v>0</v>
      </c>
      <c r="P130" s="373">
        <v>0</v>
      </c>
      <c r="Q130" s="373">
        <v>0</v>
      </c>
      <c r="R130" s="373">
        <v>0</v>
      </c>
      <c r="S130" s="373">
        <v>0</v>
      </c>
      <c r="T130" s="373">
        <v>0</v>
      </c>
      <c r="U130" s="373">
        <v>0</v>
      </c>
      <c r="V130" s="373">
        <f>U130</f>
        <v>0</v>
      </c>
      <c r="W130" s="373">
        <f>V130</f>
        <v>0</v>
      </c>
      <c r="X130" s="373">
        <f>W130</f>
        <v>0</v>
      </c>
      <c r="Y130" s="382">
        <v>0</v>
      </c>
    </row>
    <row r="131" spans="1:26" ht="13.5" thickBot="1" x14ac:dyDescent="0.25">
      <c r="A131" s="379" t="s">
        <v>117</v>
      </c>
      <c r="B131" s="374">
        <f t="shared" ref="B131:X131" si="29">(C130+B130)*(C129-B129)/2</f>
        <v>4.1515000000000007E-3</v>
      </c>
      <c r="C131" s="375">
        <f t="shared" si="29"/>
        <v>0.56389800000000001</v>
      </c>
      <c r="D131" s="375">
        <f t="shared" si="29"/>
        <v>0.90914500000000009</v>
      </c>
      <c r="E131" s="375">
        <f t="shared" si="29"/>
        <v>2.5370649999999997</v>
      </c>
      <c r="F131" s="375">
        <f t="shared" si="29"/>
        <v>3.8989200000000004</v>
      </c>
      <c r="G131" s="375">
        <f t="shared" si="29"/>
        <v>22.528134000000005</v>
      </c>
      <c r="H131" s="375">
        <f t="shared" si="29"/>
        <v>18.396723000000001</v>
      </c>
      <c r="I131" s="375">
        <f t="shared" si="29"/>
        <v>1.4194920000000013</v>
      </c>
      <c r="J131" s="375">
        <f t="shared" si="29"/>
        <v>1.633091499999997</v>
      </c>
      <c r="K131" s="375">
        <f t="shared" si="29"/>
        <v>0.62876700000000063</v>
      </c>
      <c r="L131" s="375">
        <f t="shared" si="29"/>
        <v>0.25615100000000024</v>
      </c>
      <c r="M131" s="375">
        <f t="shared" si="29"/>
        <v>4.013599999999988E-2</v>
      </c>
      <c r="N131" s="375">
        <f t="shared" si="29"/>
        <v>0</v>
      </c>
      <c r="O131" s="375">
        <f t="shared" si="29"/>
        <v>0</v>
      </c>
      <c r="P131" s="375">
        <f t="shared" si="29"/>
        <v>0</v>
      </c>
      <c r="Q131" s="375">
        <f t="shared" si="29"/>
        <v>0</v>
      </c>
      <c r="R131" s="375">
        <f t="shared" si="29"/>
        <v>0</v>
      </c>
      <c r="S131" s="375">
        <f t="shared" si="29"/>
        <v>0</v>
      </c>
      <c r="T131" s="375">
        <f t="shared" si="29"/>
        <v>0</v>
      </c>
      <c r="U131" s="375">
        <f t="shared" si="29"/>
        <v>0</v>
      </c>
      <c r="V131" s="375">
        <f t="shared" si="29"/>
        <v>0</v>
      </c>
      <c r="W131" s="375">
        <f t="shared" si="29"/>
        <v>0</v>
      </c>
      <c r="X131" s="375">
        <f t="shared" si="29"/>
        <v>0</v>
      </c>
      <c r="Y131" s="369"/>
    </row>
    <row r="132" spans="1:26" ht="13.5" thickBot="1" x14ac:dyDescent="0.25">
      <c r="A132" s="6" t="s">
        <v>313</v>
      </c>
    </row>
    <row r="133" spans="1:26" ht="13.5" thickBot="1" x14ac:dyDescent="0.25">
      <c r="A133" s="361" t="s">
        <v>381</v>
      </c>
      <c r="B133" s="359">
        <f>ROW(A133)</f>
        <v>133</v>
      </c>
      <c r="C133" s="363" t="s">
        <v>116</v>
      </c>
      <c r="D133" s="353">
        <f>SUM(B136:Y136)</f>
        <v>41.835000000000015</v>
      </c>
      <c r="E133" s="363" t="s">
        <v>115</v>
      </c>
      <c r="F133" s="354">
        <f>D133/g/J133</f>
        <v>121.84359982525126</v>
      </c>
      <c r="G133" s="363" t="s">
        <v>57</v>
      </c>
      <c r="H133" s="64">
        <v>0.104</v>
      </c>
      <c r="I133" s="363" t="s">
        <v>270</v>
      </c>
      <c r="J133" s="355">
        <f>H133-L133</f>
        <v>3.4999999999999989E-2</v>
      </c>
      <c r="K133" s="363" t="s">
        <v>271</v>
      </c>
      <c r="L133" s="64">
        <v>6.9000000000000006E-2</v>
      </c>
      <c r="M133" s="363" t="s">
        <v>58</v>
      </c>
      <c r="N133" s="65">
        <v>49</v>
      </c>
      <c r="O133" s="363" t="s">
        <v>60</v>
      </c>
      <c r="P133" s="65">
        <v>49</v>
      </c>
      <c r="Q133" s="363" t="s">
        <v>61</v>
      </c>
      <c r="R133" s="65">
        <v>98</v>
      </c>
      <c r="S133" s="363" t="s">
        <v>62</v>
      </c>
      <c r="T133" s="65">
        <v>29</v>
      </c>
      <c r="U133" s="363" t="s">
        <v>55</v>
      </c>
      <c r="V133" s="66" t="s">
        <v>399</v>
      </c>
      <c r="W133" s="463" t="s">
        <v>394</v>
      </c>
      <c r="X133" s="465">
        <v>1.07</v>
      </c>
      <c r="Y133" s="463" t="s">
        <v>393</v>
      </c>
      <c r="Z133" s="358">
        <v>11</v>
      </c>
    </row>
    <row r="134" spans="1:26" x14ac:dyDescent="0.2">
      <c r="A134" s="362" t="s">
        <v>33</v>
      </c>
      <c r="B134" s="370">
        <v>0</v>
      </c>
      <c r="C134" s="371">
        <v>0.01</v>
      </c>
      <c r="D134" s="371">
        <v>0.02</v>
      </c>
      <c r="E134" s="371">
        <v>0.03</v>
      </c>
      <c r="F134" s="371">
        <v>0.04</v>
      </c>
      <c r="G134" s="371">
        <v>0.06</v>
      </c>
      <c r="H134" s="371">
        <v>7.0000000000000007E-2</v>
      </c>
      <c r="I134" s="371">
        <v>0.08</v>
      </c>
      <c r="J134" s="371">
        <v>0.1</v>
      </c>
      <c r="K134" s="371">
        <v>0.2</v>
      </c>
      <c r="L134" s="371">
        <v>0.3</v>
      </c>
      <c r="M134" s="371">
        <v>0.4</v>
      </c>
      <c r="N134" s="371">
        <v>0.5</v>
      </c>
      <c r="O134" s="371">
        <v>0.6</v>
      </c>
      <c r="P134" s="371">
        <v>0.7</v>
      </c>
      <c r="Q134" s="371">
        <v>0.8</v>
      </c>
      <c r="R134" s="371">
        <v>0.85</v>
      </c>
      <c r="S134" s="371">
        <v>0.92</v>
      </c>
      <c r="T134" s="371">
        <v>0.95</v>
      </c>
      <c r="U134" s="371">
        <v>0.99</v>
      </c>
      <c r="V134" s="371">
        <v>1.05</v>
      </c>
      <c r="W134" s="371">
        <v>1.05</v>
      </c>
      <c r="X134" s="371">
        <v>2</v>
      </c>
      <c r="Y134" s="381">
        <v>1000</v>
      </c>
    </row>
    <row r="135" spans="1:26" x14ac:dyDescent="0.2">
      <c r="A135" s="378" t="s">
        <v>34</v>
      </c>
      <c r="B135" s="372">
        <v>0</v>
      </c>
      <c r="C135" s="373">
        <v>12</v>
      </c>
      <c r="D135" s="373">
        <v>46</v>
      </c>
      <c r="E135" s="373">
        <v>75</v>
      </c>
      <c r="F135" s="373">
        <v>79</v>
      </c>
      <c r="G135" s="373">
        <v>77</v>
      </c>
      <c r="H135" s="373">
        <v>62</v>
      </c>
      <c r="I135" s="373">
        <v>32</v>
      </c>
      <c r="J135" s="373">
        <v>35</v>
      </c>
      <c r="K135" s="373">
        <v>38</v>
      </c>
      <c r="L135" s="373">
        <v>39</v>
      </c>
      <c r="M135" s="373">
        <v>41</v>
      </c>
      <c r="N135" s="373">
        <v>43</v>
      </c>
      <c r="O135" s="373">
        <v>43</v>
      </c>
      <c r="P135" s="373">
        <v>43</v>
      </c>
      <c r="Q135" s="373">
        <v>43</v>
      </c>
      <c r="R135" s="373">
        <v>47</v>
      </c>
      <c r="S135" s="373">
        <v>54</v>
      </c>
      <c r="T135" s="373">
        <v>32</v>
      </c>
      <c r="U135" s="373">
        <v>8</v>
      </c>
      <c r="V135" s="373">
        <v>0</v>
      </c>
      <c r="W135" s="373">
        <v>0</v>
      </c>
      <c r="X135" s="373">
        <v>0</v>
      </c>
      <c r="Y135" s="382">
        <v>0</v>
      </c>
    </row>
    <row r="136" spans="1:26" ht="13.5" thickBot="1" x14ac:dyDescent="0.25">
      <c r="A136" s="379" t="s">
        <v>117</v>
      </c>
      <c r="B136" s="374">
        <f t="shared" ref="B136:X136" si="30">(C135+B135)*(C134-B134)/2</f>
        <v>0.06</v>
      </c>
      <c r="C136" s="375">
        <f t="shared" si="30"/>
        <v>0.28999999999999998</v>
      </c>
      <c r="D136" s="375">
        <f t="shared" si="30"/>
        <v>0.60499999999999987</v>
      </c>
      <c r="E136" s="375">
        <f t="shared" si="30"/>
        <v>0.77000000000000013</v>
      </c>
      <c r="F136" s="375">
        <f t="shared" si="30"/>
        <v>1.5599999999999998</v>
      </c>
      <c r="G136" s="375">
        <f t="shared" si="30"/>
        <v>0.69500000000000062</v>
      </c>
      <c r="H136" s="375">
        <f t="shared" si="30"/>
        <v>0.46999999999999975</v>
      </c>
      <c r="I136" s="375">
        <f t="shared" si="30"/>
        <v>0.67000000000000015</v>
      </c>
      <c r="J136" s="375">
        <f t="shared" si="30"/>
        <v>3.6500000000000004</v>
      </c>
      <c r="K136" s="375">
        <f t="shared" si="30"/>
        <v>3.8499999999999992</v>
      </c>
      <c r="L136" s="375">
        <f t="shared" si="30"/>
        <v>4.0000000000000018</v>
      </c>
      <c r="M136" s="375">
        <f t="shared" si="30"/>
        <v>4.1999999999999993</v>
      </c>
      <c r="N136" s="375">
        <f t="shared" si="30"/>
        <v>4.2999999999999989</v>
      </c>
      <c r="O136" s="375">
        <f t="shared" si="30"/>
        <v>4.2999999999999989</v>
      </c>
      <c r="P136" s="375">
        <f t="shared" si="30"/>
        <v>4.3000000000000043</v>
      </c>
      <c r="Q136" s="375">
        <f t="shared" si="30"/>
        <v>2.2499999999999969</v>
      </c>
      <c r="R136" s="375">
        <f t="shared" si="30"/>
        <v>3.5350000000000033</v>
      </c>
      <c r="S136" s="375">
        <f t="shared" si="30"/>
        <v>1.2899999999999965</v>
      </c>
      <c r="T136" s="375">
        <f t="shared" si="30"/>
        <v>0.80000000000000071</v>
      </c>
      <c r="U136" s="375">
        <f t="shared" si="30"/>
        <v>0.24000000000000021</v>
      </c>
      <c r="V136" s="375">
        <f t="shared" si="30"/>
        <v>0</v>
      </c>
      <c r="W136" s="375">
        <f t="shared" si="30"/>
        <v>0</v>
      </c>
      <c r="X136" s="375">
        <f t="shared" si="30"/>
        <v>0</v>
      </c>
      <c r="Y136" s="369"/>
    </row>
    <row r="137" spans="1:26" ht="13.5" thickBo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6" ht="13.5" thickBot="1" x14ac:dyDescent="0.25">
      <c r="A138" s="361" t="s">
        <v>382</v>
      </c>
      <c r="B138" s="359">
        <f>ROW(A138)</f>
        <v>138</v>
      </c>
      <c r="C138" s="363" t="s">
        <v>116</v>
      </c>
      <c r="D138" s="353">
        <f>SUM(B141:Y141)</f>
        <v>52.564999999999998</v>
      </c>
      <c r="E138" s="363" t="s">
        <v>115</v>
      </c>
      <c r="F138" s="354">
        <f>D138/g/J138</f>
        <v>167.44712028542301</v>
      </c>
      <c r="G138" s="363" t="s">
        <v>57</v>
      </c>
      <c r="H138" s="64">
        <v>0.10100000000000001</v>
      </c>
      <c r="I138" s="363" t="s">
        <v>270</v>
      </c>
      <c r="J138" s="355">
        <f>H138-L138</f>
        <v>3.2000000000000001E-2</v>
      </c>
      <c r="K138" s="363" t="s">
        <v>271</v>
      </c>
      <c r="L138" s="64">
        <v>6.9000000000000006E-2</v>
      </c>
      <c r="M138" s="363" t="s">
        <v>58</v>
      </c>
      <c r="N138" s="65">
        <v>49</v>
      </c>
      <c r="O138" s="363" t="s">
        <v>60</v>
      </c>
      <c r="P138" s="65">
        <v>49</v>
      </c>
      <c r="Q138" s="363" t="s">
        <v>61</v>
      </c>
      <c r="R138" s="65">
        <v>98</v>
      </c>
      <c r="S138" s="363" t="s">
        <v>62</v>
      </c>
      <c r="T138" s="65">
        <v>29</v>
      </c>
      <c r="U138" s="363" t="s">
        <v>55</v>
      </c>
      <c r="V138" s="66" t="s">
        <v>400</v>
      </c>
      <c r="W138" s="463" t="s">
        <v>394</v>
      </c>
      <c r="X138" s="465">
        <v>1.8</v>
      </c>
      <c r="Y138" s="463" t="s">
        <v>393</v>
      </c>
      <c r="Z138" s="358">
        <v>12</v>
      </c>
    </row>
    <row r="139" spans="1:26" x14ac:dyDescent="0.2">
      <c r="A139" s="362" t="s">
        <v>33</v>
      </c>
      <c r="B139" s="370">
        <v>0</v>
      </c>
      <c r="C139" s="371">
        <v>0.01</v>
      </c>
      <c r="D139" s="371">
        <v>0.03</v>
      </c>
      <c r="E139" s="371">
        <v>0.04</v>
      </c>
      <c r="F139" s="371">
        <v>0.05</v>
      </c>
      <c r="G139" s="371">
        <v>0.06</v>
      </c>
      <c r="H139" s="371">
        <v>7.0000000000000007E-2</v>
      </c>
      <c r="I139" s="371">
        <v>0.08</v>
      </c>
      <c r="J139" s="371">
        <v>0.09</v>
      </c>
      <c r="K139" s="371">
        <v>0.1</v>
      </c>
      <c r="L139" s="371">
        <v>0.2</v>
      </c>
      <c r="M139" s="371">
        <v>0.3</v>
      </c>
      <c r="N139" s="371">
        <v>0.4</v>
      </c>
      <c r="O139" s="371">
        <v>0.5</v>
      </c>
      <c r="P139" s="371">
        <v>0.7</v>
      </c>
      <c r="Q139" s="371">
        <v>0.8</v>
      </c>
      <c r="R139" s="371">
        <v>0.9</v>
      </c>
      <c r="S139" s="371">
        <v>1</v>
      </c>
      <c r="T139" s="371">
        <v>1.1000000000000001</v>
      </c>
      <c r="U139" s="371">
        <v>1.24</v>
      </c>
      <c r="V139" s="371">
        <v>1.3</v>
      </c>
      <c r="W139" s="371">
        <v>1.5</v>
      </c>
      <c r="X139" s="371">
        <v>2</v>
      </c>
      <c r="Y139" s="381">
        <v>1000</v>
      </c>
    </row>
    <row r="140" spans="1:26" x14ac:dyDescent="0.2">
      <c r="A140" s="378" t="s">
        <v>34</v>
      </c>
      <c r="B140" s="372">
        <v>0</v>
      </c>
      <c r="C140" s="373">
        <v>12</v>
      </c>
      <c r="D140" s="373">
        <v>41</v>
      </c>
      <c r="E140" s="373">
        <v>42</v>
      </c>
      <c r="F140" s="373">
        <v>42</v>
      </c>
      <c r="G140" s="373">
        <v>40</v>
      </c>
      <c r="H140" s="373">
        <v>34</v>
      </c>
      <c r="I140" s="373">
        <v>34</v>
      </c>
      <c r="J140" s="373">
        <v>35</v>
      </c>
      <c r="K140" s="373">
        <v>36</v>
      </c>
      <c r="L140" s="373">
        <v>40</v>
      </c>
      <c r="M140" s="373">
        <v>42</v>
      </c>
      <c r="N140" s="373">
        <v>43</v>
      </c>
      <c r="O140" s="373">
        <v>43</v>
      </c>
      <c r="P140" s="373">
        <v>43</v>
      </c>
      <c r="Q140" s="373">
        <v>42</v>
      </c>
      <c r="R140" s="373">
        <v>41</v>
      </c>
      <c r="S140" s="373">
        <v>40</v>
      </c>
      <c r="T140" s="373">
        <v>38</v>
      </c>
      <c r="U140" s="373">
        <v>37</v>
      </c>
      <c r="V140" s="373">
        <v>12</v>
      </c>
      <c r="W140" s="373">
        <v>0</v>
      </c>
      <c r="X140" s="373">
        <v>0</v>
      </c>
      <c r="Y140" s="382">
        <v>0</v>
      </c>
    </row>
    <row r="141" spans="1:26" ht="13.5" thickBot="1" x14ac:dyDescent="0.25">
      <c r="A141" s="379" t="s">
        <v>117</v>
      </c>
      <c r="B141" s="374">
        <f t="shared" ref="B141:X141" si="31">(C140+B140)*(C139-B139)/2</f>
        <v>0.06</v>
      </c>
      <c r="C141" s="375">
        <f t="shared" si="31"/>
        <v>0.52999999999999992</v>
      </c>
      <c r="D141" s="375">
        <f t="shared" si="31"/>
        <v>0.41500000000000009</v>
      </c>
      <c r="E141" s="375">
        <f t="shared" si="31"/>
        <v>0.4200000000000001</v>
      </c>
      <c r="F141" s="375">
        <f t="shared" si="31"/>
        <v>0.40999999999999981</v>
      </c>
      <c r="G141" s="375">
        <f t="shared" si="31"/>
        <v>0.37000000000000033</v>
      </c>
      <c r="H141" s="375">
        <f t="shared" si="31"/>
        <v>0.33999999999999986</v>
      </c>
      <c r="I141" s="375">
        <f t="shared" si="31"/>
        <v>0.34499999999999981</v>
      </c>
      <c r="J141" s="375">
        <f t="shared" si="31"/>
        <v>0.35500000000000032</v>
      </c>
      <c r="K141" s="375">
        <f t="shared" si="31"/>
        <v>3.8000000000000003</v>
      </c>
      <c r="L141" s="375">
        <f t="shared" si="31"/>
        <v>4.0999999999999988</v>
      </c>
      <c r="M141" s="375">
        <f t="shared" si="31"/>
        <v>4.2500000000000018</v>
      </c>
      <c r="N141" s="375">
        <f t="shared" si="31"/>
        <v>4.2999999999999989</v>
      </c>
      <c r="O141" s="375">
        <f t="shared" si="31"/>
        <v>8.5999999999999979</v>
      </c>
      <c r="P141" s="375">
        <f t="shared" si="31"/>
        <v>4.2500000000000036</v>
      </c>
      <c r="Q141" s="375">
        <f t="shared" si="31"/>
        <v>4.1499999999999995</v>
      </c>
      <c r="R141" s="375">
        <f t="shared" si="31"/>
        <v>4.0499999999999989</v>
      </c>
      <c r="S141" s="375">
        <f t="shared" si="31"/>
        <v>3.9000000000000035</v>
      </c>
      <c r="T141" s="375">
        <f t="shared" si="31"/>
        <v>5.2499999999999964</v>
      </c>
      <c r="U141" s="375">
        <f t="shared" si="31"/>
        <v>1.4700000000000013</v>
      </c>
      <c r="V141" s="375">
        <f t="shared" si="31"/>
        <v>1.1999999999999997</v>
      </c>
      <c r="W141" s="375">
        <f t="shared" si="31"/>
        <v>0</v>
      </c>
      <c r="X141" s="375">
        <f t="shared" si="31"/>
        <v>0</v>
      </c>
      <c r="Y141" s="369"/>
    </row>
    <row r="142" spans="1:26" ht="13.5" thickBo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6" ht="13.5" thickBot="1" x14ac:dyDescent="0.25">
      <c r="A143" s="361" t="s">
        <v>383</v>
      </c>
      <c r="B143" s="359">
        <f>ROW(A143)</f>
        <v>143</v>
      </c>
      <c r="C143" s="363" t="s">
        <v>116</v>
      </c>
      <c r="D143" s="353">
        <f>SUM(B146:Y146)</f>
        <v>54.110016122119539</v>
      </c>
      <c r="E143" s="363" t="s">
        <v>115</v>
      </c>
      <c r="F143" s="354">
        <f>D143/g/J143</f>
        <v>146.69685764124625</v>
      </c>
      <c r="G143" s="363" t="s">
        <v>57</v>
      </c>
      <c r="H143" s="64">
        <v>0.10580000000000001</v>
      </c>
      <c r="I143" s="363" t="s">
        <v>270</v>
      </c>
      <c r="J143" s="355">
        <f>H143-L143</f>
        <v>3.7600000000000008E-2</v>
      </c>
      <c r="K143" s="363" t="s">
        <v>271</v>
      </c>
      <c r="L143" s="64">
        <v>6.8199999999999997E-2</v>
      </c>
      <c r="M143" s="363" t="s">
        <v>58</v>
      </c>
      <c r="N143" s="65">
        <v>49</v>
      </c>
      <c r="O143" s="363" t="s">
        <v>60</v>
      </c>
      <c r="P143" s="65">
        <v>49</v>
      </c>
      <c r="Q143" s="363" t="s">
        <v>61</v>
      </c>
      <c r="R143" s="65">
        <v>98</v>
      </c>
      <c r="S143" s="363" t="s">
        <v>62</v>
      </c>
      <c r="T143" s="65">
        <v>29</v>
      </c>
      <c r="U143" s="363" t="s">
        <v>55</v>
      </c>
      <c r="V143" s="66" t="s">
        <v>399</v>
      </c>
      <c r="W143" s="463" t="s">
        <v>394</v>
      </c>
      <c r="X143" s="465">
        <v>1.9</v>
      </c>
      <c r="Y143" s="463" t="s">
        <v>393</v>
      </c>
      <c r="Z143" s="358">
        <v>12</v>
      </c>
    </row>
    <row r="144" spans="1:26" x14ac:dyDescent="0.2">
      <c r="A144" s="362" t="s">
        <v>33</v>
      </c>
      <c r="B144" s="370">
        <v>0</v>
      </c>
      <c r="C144" s="371">
        <v>2.5000000000000001E-2</v>
      </c>
      <c r="D144" s="371">
        <v>0.05</v>
      </c>
      <c r="E144" s="371">
        <v>7.4999999999999997E-2</v>
      </c>
      <c r="F144" s="371">
        <v>0.1</v>
      </c>
      <c r="G144" s="371">
        <v>0.15</v>
      </c>
      <c r="H144" s="371">
        <v>0.17499999999999999</v>
      </c>
      <c r="I144" s="371">
        <v>0.2</v>
      </c>
      <c r="J144" s="371">
        <v>0.3</v>
      </c>
      <c r="K144" s="371">
        <v>0.4</v>
      </c>
      <c r="L144" s="371">
        <v>0.5</v>
      </c>
      <c r="M144" s="371">
        <v>0.6</v>
      </c>
      <c r="N144" s="371">
        <v>0.7</v>
      </c>
      <c r="O144" s="371">
        <v>0.8</v>
      </c>
      <c r="P144" s="371">
        <v>0.9</v>
      </c>
      <c r="Q144" s="371">
        <v>1.1000000000000001</v>
      </c>
      <c r="R144" s="371">
        <v>1.2</v>
      </c>
      <c r="S144" s="371">
        <v>1.6</v>
      </c>
      <c r="T144" s="371">
        <v>1.7</v>
      </c>
      <c r="U144" s="371">
        <v>1.8</v>
      </c>
      <c r="V144" s="371">
        <v>1.9</v>
      </c>
      <c r="W144" s="371">
        <v>1.9999</v>
      </c>
      <c r="X144" s="371">
        <v>2</v>
      </c>
      <c r="Y144" s="381">
        <v>1000</v>
      </c>
    </row>
    <row r="145" spans="1:26" x14ac:dyDescent="0.2">
      <c r="A145" s="378" t="s">
        <v>34</v>
      </c>
      <c r="B145" s="372">
        <v>0</v>
      </c>
      <c r="C145" s="376">
        <v>15.2574001848975</v>
      </c>
      <c r="D145" s="376">
        <v>26.377954255522496</v>
      </c>
      <c r="E145" s="376">
        <v>21.484910464447498</v>
      </c>
      <c r="F145" s="376">
        <v>24.020396792549999</v>
      </c>
      <c r="G145" s="376">
        <v>28.11276069054</v>
      </c>
      <c r="H145" s="376">
        <v>28.691029502212498</v>
      </c>
      <c r="I145" s="376">
        <v>29.180333881319996</v>
      </c>
      <c r="J145" s="376">
        <v>31.493409128009997</v>
      </c>
      <c r="K145" s="376">
        <v>32.560982318789996</v>
      </c>
      <c r="L145" s="376">
        <v>32.827875616484995</v>
      </c>
      <c r="M145" s="376">
        <v>32.649946751354996</v>
      </c>
      <c r="N145" s="376">
        <v>32.383053453659997</v>
      </c>
      <c r="O145" s="376">
        <v>32.249606804812501</v>
      </c>
      <c r="P145" s="376">
        <v>31.804784641987499</v>
      </c>
      <c r="Q145" s="376">
        <v>30.559282586077497</v>
      </c>
      <c r="R145" s="376">
        <v>30.069978206969999</v>
      </c>
      <c r="S145" s="376">
        <v>26.377954255522496</v>
      </c>
      <c r="T145" s="376">
        <v>24.865558901917499</v>
      </c>
      <c r="U145" s="376">
        <v>18.4601197572375</v>
      </c>
      <c r="V145" s="376">
        <v>7.5174945517424998</v>
      </c>
      <c r="W145" s="376">
        <v>1.3789487047575</v>
      </c>
      <c r="X145" s="373">
        <v>0</v>
      </c>
      <c r="Y145" s="382">
        <v>0</v>
      </c>
    </row>
    <row r="146" spans="1:26" ht="13.5" thickBot="1" x14ac:dyDescent="0.25">
      <c r="A146" s="379" t="s">
        <v>117</v>
      </c>
      <c r="B146" s="374">
        <f t="shared" ref="B146:V146" si="32">(C145+B145)*(C144-B144)/2</f>
        <v>0.19071750231121876</v>
      </c>
      <c r="C146" s="375">
        <f t="shared" si="32"/>
        <v>0.52044193050525001</v>
      </c>
      <c r="D146" s="375">
        <f t="shared" si="32"/>
        <v>0.5982858089996248</v>
      </c>
      <c r="E146" s="375">
        <f t="shared" si="32"/>
        <v>0.56881634071246889</v>
      </c>
      <c r="F146" s="375">
        <f t="shared" si="32"/>
        <v>1.3033289370772498</v>
      </c>
      <c r="G146" s="375">
        <f t="shared" si="32"/>
        <v>0.71004737740940616</v>
      </c>
      <c r="H146" s="375">
        <f t="shared" si="32"/>
        <v>0.72339204229415688</v>
      </c>
      <c r="I146" s="375">
        <f t="shared" si="32"/>
        <v>3.0336871504664993</v>
      </c>
      <c r="J146" s="375">
        <f>(K145+J145)*(K144-J144)/2</f>
        <v>3.2027195723400008</v>
      </c>
      <c r="K146" s="375">
        <f t="shared" si="32"/>
        <v>3.2694428967637483</v>
      </c>
      <c r="L146" s="375">
        <f t="shared" si="32"/>
        <v>3.2738911183919988</v>
      </c>
      <c r="M146" s="375">
        <f t="shared" si="32"/>
        <v>3.2516500102507484</v>
      </c>
      <c r="N146" s="375">
        <f t="shared" si="32"/>
        <v>3.2316330129236279</v>
      </c>
      <c r="O146" s="375">
        <f t="shared" si="32"/>
        <v>3.202719572339999</v>
      </c>
      <c r="P146" s="375">
        <f t="shared" si="32"/>
        <v>6.2364067228065014</v>
      </c>
      <c r="Q146" s="375">
        <f t="shared" si="32"/>
        <v>3.0314630396523707</v>
      </c>
      <c r="R146" s="375">
        <f t="shared" si="32"/>
        <v>11.289586492498502</v>
      </c>
      <c r="S146" s="375">
        <f>(T145+S145)*(T144-S144)/2</f>
        <v>2.5621756578719963</v>
      </c>
      <c r="T146" s="375">
        <f t="shared" si="32"/>
        <v>2.1662839329577519</v>
      </c>
      <c r="U146" s="375">
        <f t="shared" si="32"/>
        <v>1.2988807154489983</v>
      </c>
      <c r="V146" s="375">
        <f t="shared" si="32"/>
        <v>0.44437734066217544</v>
      </c>
      <c r="W146" s="375">
        <f>(X145+W145)*(X144-W144)/2</f>
        <v>6.894743523786741E-5</v>
      </c>
      <c r="X146" s="375">
        <f>(Y145+X145)*(Y144-X144)/2</f>
        <v>0</v>
      </c>
      <c r="Y146" s="369"/>
    </row>
    <row r="147" spans="1:26" ht="13.5" thickBo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6" ht="13.5" thickBot="1" x14ac:dyDescent="0.25">
      <c r="A148" s="361" t="s">
        <v>545</v>
      </c>
      <c r="B148" s="359">
        <f>ROW(A148)</f>
        <v>148</v>
      </c>
      <c r="C148" s="363" t="s">
        <v>116</v>
      </c>
      <c r="D148" s="353">
        <f>SUM(B151:Y151)</f>
        <v>55.589492</v>
      </c>
      <c r="E148" s="363" t="s">
        <v>115</v>
      </c>
      <c r="F148" s="354">
        <f>D148/g/J148</f>
        <v>177.08171508664634</v>
      </c>
      <c r="G148" s="363" t="s">
        <v>57</v>
      </c>
      <c r="H148" s="64">
        <v>0.10199999999999999</v>
      </c>
      <c r="I148" s="363" t="s">
        <v>270</v>
      </c>
      <c r="J148" s="355">
        <f>H148-L148</f>
        <v>3.1999999999999987E-2</v>
      </c>
      <c r="K148" s="363" t="s">
        <v>271</v>
      </c>
      <c r="L148" s="64">
        <v>7.0000000000000007E-2</v>
      </c>
      <c r="M148" s="363" t="s">
        <v>58</v>
      </c>
      <c r="N148" s="65">
        <v>49</v>
      </c>
      <c r="O148" s="363" t="s">
        <v>60</v>
      </c>
      <c r="P148" s="65">
        <v>49</v>
      </c>
      <c r="Q148" s="363" t="s">
        <v>61</v>
      </c>
      <c r="R148" s="65">
        <v>98</v>
      </c>
      <c r="S148" s="363" t="s">
        <v>62</v>
      </c>
      <c r="T148" s="65">
        <v>29</v>
      </c>
      <c r="U148" s="363" t="s">
        <v>55</v>
      </c>
      <c r="V148" s="66" t="s">
        <v>400</v>
      </c>
      <c r="W148" s="463" t="s">
        <v>394</v>
      </c>
      <c r="X148" s="465">
        <v>0.45</v>
      </c>
      <c r="Y148" s="463" t="s">
        <v>393</v>
      </c>
      <c r="Z148" s="358">
        <v>12</v>
      </c>
    </row>
    <row r="149" spans="1:26" x14ac:dyDescent="0.2">
      <c r="A149" s="362" t="s">
        <v>33</v>
      </c>
      <c r="B149" s="370">
        <v>0</v>
      </c>
      <c r="C149" s="371">
        <v>1E-3</v>
      </c>
      <c r="D149" s="371">
        <v>2.3E-2</v>
      </c>
      <c r="E149" s="371">
        <v>0.05</v>
      </c>
      <c r="F149" s="371">
        <v>5.8999999999999997E-2</v>
      </c>
      <c r="G149" s="371">
        <v>9.5000000000000001E-2</v>
      </c>
      <c r="H149" s="371">
        <v>0.21199999999999999</v>
      </c>
      <c r="I149" s="371">
        <v>0.34399999999999997</v>
      </c>
      <c r="J149" s="371">
        <v>1.5669999999999999</v>
      </c>
      <c r="K149" s="371">
        <v>1.631</v>
      </c>
      <c r="L149" s="371">
        <v>1.663</v>
      </c>
      <c r="M149" s="371">
        <v>1.7849999999999999</v>
      </c>
      <c r="N149" s="371">
        <v>1.8280000000000001</v>
      </c>
      <c r="O149" s="371">
        <v>2</v>
      </c>
      <c r="P149" s="371">
        <v>2</v>
      </c>
      <c r="Q149" s="371">
        <v>2</v>
      </c>
      <c r="R149" s="371">
        <v>2</v>
      </c>
      <c r="S149" s="371">
        <v>2</v>
      </c>
      <c r="T149" s="371">
        <v>2</v>
      </c>
      <c r="U149" s="371">
        <v>2</v>
      </c>
      <c r="V149" s="371">
        <v>2</v>
      </c>
      <c r="W149" s="371">
        <v>2</v>
      </c>
      <c r="X149" s="371">
        <v>2</v>
      </c>
      <c r="Y149" s="381">
        <v>1000</v>
      </c>
    </row>
    <row r="150" spans="1:26" x14ac:dyDescent="0.2">
      <c r="A150" s="378" t="s">
        <v>34</v>
      </c>
      <c r="B150" s="372">
        <v>0</v>
      </c>
      <c r="C150" s="373">
        <v>3.4830000000000001</v>
      </c>
      <c r="D150" s="373">
        <v>64.052999999999997</v>
      </c>
      <c r="E150" s="373">
        <v>31.347000000000001</v>
      </c>
      <c r="F150" s="373">
        <v>28.459</v>
      </c>
      <c r="G150" s="373">
        <v>32.027000000000001</v>
      </c>
      <c r="H150" s="373">
        <v>36.189</v>
      </c>
      <c r="I150" s="373">
        <v>37.548999999999999</v>
      </c>
      <c r="J150" s="373">
        <v>26.164999999999999</v>
      </c>
      <c r="K150" s="373">
        <v>26.93</v>
      </c>
      <c r="L150" s="373">
        <v>25.315999999999999</v>
      </c>
      <c r="M150" s="373">
        <v>3.653</v>
      </c>
      <c r="N150" s="373">
        <v>0</v>
      </c>
      <c r="O150" s="373">
        <v>0</v>
      </c>
      <c r="P150" s="373">
        <v>0</v>
      </c>
      <c r="Q150" s="373">
        <v>0</v>
      </c>
      <c r="R150" s="373">
        <v>0</v>
      </c>
      <c r="S150" s="373">
        <v>0</v>
      </c>
      <c r="T150" s="373">
        <v>0</v>
      </c>
      <c r="U150" s="373">
        <v>0</v>
      </c>
      <c r="V150" s="373">
        <v>0</v>
      </c>
      <c r="W150" s="373">
        <v>0</v>
      </c>
      <c r="X150" s="373">
        <v>0</v>
      </c>
      <c r="Y150" s="382">
        <v>0</v>
      </c>
    </row>
    <row r="151" spans="1:26" ht="13.5" thickBot="1" x14ac:dyDescent="0.25">
      <c r="A151" s="379" t="s">
        <v>117</v>
      </c>
      <c r="B151" s="374">
        <f t="shared" ref="B151" si="33">(C150+B150)*(C149-B149)/2</f>
        <v>1.7415E-3</v>
      </c>
      <c r="C151" s="375">
        <f t="shared" ref="C151" si="34">(D150+C150)*(D149-C149)/2</f>
        <v>0.742896</v>
      </c>
      <c r="D151" s="375">
        <f t="shared" ref="D151" si="35">(E150+D150)*(E149-D149)/2</f>
        <v>1.2879000000000003</v>
      </c>
      <c r="E151" s="375">
        <f t="shared" ref="E151" si="36">(F150+E150)*(F149-E149)/2</f>
        <v>0.26912699999999984</v>
      </c>
      <c r="F151" s="375">
        <f t="shared" ref="F151" si="37">(G150+F150)*(G149-F149)/2</f>
        <v>1.0887480000000003</v>
      </c>
      <c r="G151" s="375">
        <f t="shared" ref="G151" si="38">(H150+G150)*(H149-G149)/2</f>
        <v>3.9906360000000003</v>
      </c>
      <c r="H151" s="375">
        <f t="shared" ref="H151" si="39">(I150+H150)*(I149-H149)/2</f>
        <v>4.8667079999999991</v>
      </c>
      <c r="I151" s="375">
        <f t="shared" ref="I151" si="40">(J150+I150)*(J149-I149)/2</f>
        <v>38.961110999999995</v>
      </c>
      <c r="J151" s="375">
        <f t="shared" ref="J151" si="41">(K150+J150)*(K149-J149)/2</f>
        <v>1.6990400000000014</v>
      </c>
      <c r="K151" s="375">
        <f t="shared" ref="K151" si="42">(L150+K150)*(L149-K149)/2</f>
        <v>0.83593600000000068</v>
      </c>
      <c r="L151" s="375">
        <f t="shared" ref="L151" si="43">(M150+L150)*(M149-L149)/2</f>
        <v>1.7671089999999983</v>
      </c>
      <c r="M151" s="375">
        <f t="shared" ref="M151" si="44">(N150+M150)*(N149-M149)/2</f>
        <v>7.8539500000000276E-2</v>
      </c>
      <c r="N151" s="375">
        <f t="shared" ref="N151" si="45">(O150+N150)*(O149-N149)/2</f>
        <v>0</v>
      </c>
      <c r="O151" s="375">
        <f t="shared" ref="O151" si="46">(P150+O150)*(P149-O149)/2</f>
        <v>0</v>
      </c>
      <c r="P151" s="375">
        <f t="shared" ref="P151" si="47">(Q150+P150)*(Q149-P149)/2</f>
        <v>0</v>
      </c>
      <c r="Q151" s="375">
        <f t="shared" ref="Q151" si="48">(R150+Q150)*(R149-Q149)/2</f>
        <v>0</v>
      </c>
      <c r="R151" s="375">
        <f t="shared" ref="R151" si="49">(S150+R150)*(S149-R149)/2</f>
        <v>0</v>
      </c>
      <c r="S151" s="375">
        <f t="shared" ref="S151" si="50">(T150+S150)*(T149-S149)/2</f>
        <v>0</v>
      </c>
      <c r="T151" s="375">
        <f t="shared" ref="T151" si="51">(U150+T150)*(U149-T149)/2</f>
        <v>0</v>
      </c>
      <c r="U151" s="375">
        <f t="shared" ref="U151" si="52">(V150+U150)*(V149-U149)/2</f>
        <v>0</v>
      </c>
      <c r="V151" s="375">
        <f t="shared" ref="V151" si="53">(W150+V150)*(W149-V149)/2</f>
        <v>0</v>
      </c>
      <c r="W151" s="375">
        <f t="shared" ref="W151" si="54">(X150+W150)*(X149-W149)/2</f>
        <v>0</v>
      </c>
      <c r="X151" s="375">
        <f t="shared" ref="X151" si="55">(Y150+X150)*(Y149-X149)/2</f>
        <v>0</v>
      </c>
      <c r="Y151" s="369"/>
    </row>
    <row r="152" spans="1:26" ht="13.5" thickBo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6" ht="13.5" thickBot="1" x14ac:dyDescent="0.25">
      <c r="A153" s="361" t="s">
        <v>384</v>
      </c>
      <c r="B153" s="359">
        <f>ROW(A153)</f>
        <v>153</v>
      </c>
      <c r="C153" s="363" t="s">
        <v>116</v>
      </c>
      <c r="D153" s="353">
        <f>SUM(B156:Y156)</f>
        <v>55.705884500000003</v>
      </c>
      <c r="E153" s="363" t="s">
        <v>115</v>
      </c>
      <c r="F153" s="354">
        <f>D153/g/J153</f>
        <v>180.84329814241278</v>
      </c>
      <c r="G153" s="363" t="s">
        <v>57</v>
      </c>
      <c r="H153" s="64">
        <v>0.1062</v>
      </c>
      <c r="I153" s="363" t="s">
        <v>270</v>
      </c>
      <c r="J153" s="355">
        <f>H153-L153</f>
        <v>3.1400000000000011E-2</v>
      </c>
      <c r="K153" s="363" t="s">
        <v>271</v>
      </c>
      <c r="L153" s="64">
        <v>7.4799999999999991E-2</v>
      </c>
      <c r="M153" s="363" t="s">
        <v>58</v>
      </c>
      <c r="N153" s="65">
        <v>49</v>
      </c>
      <c r="O153" s="363" t="s">
        <v>60</v>
      </c>
      <c r="P153" s="65">
        <v>49</v>
      </c>
      <c r="Q153" s="363" t="s">
        <v>61</v>
      </c>
      <c r="R153" s="65">
        <v>98</v>
      </c>
      <c r="S153" s="363" t="s">
        <v>62</v>
      </c>
      <c r="T153" s="65">
        <v>29</v>
      </c>
      <c r="U153" s="363" t="s">
        <v>55</v>
      </c>
      <c r="V153" s="66" t="s">
        <v>400</v>
      </c>
      <c r="W153" s="463" t="s">
        <v>394</v>
      </c>
      <c r="X153" s="465">
        <v>0.45</v>
      </c>
      <c r="Y153" s="463" t="s">
        <v>393</v>
      </c>
      <c r="Z153" s="358">
        <v>14</v>
      </c>
    </row>
    <row r="154" spans="1:26" x14ac:dyDescent="0.2">
      <c r="A154" s="362" t="s">
        <v>33</v>
      </c>
      <c r="B154" s="370">
        <v>0</v>
      </c>
      <c r="C154" s="371">
        <v>1.2999999999999999E-2</v>
      </c>
      <c r="D154" s="371">
        <v>1.7000000000000001E-2</v>
      </c>
      <c r="E154" s="371">
        <v>0.04</v>
      </c>
      <c r="F154" s="371">
        <v>0.125</v>
      </c>
      <c r="G154" s="371">
        <v>0.17899999999999999</v>
      </c>
      <c r="H154" s="371">
        <v>0.222</v>
      </c>
      <c r="I154" s="371">
        <v>0.28899999999999998</v>
      </c>
      <c r="J154" s="371">
        <v>0.35399999999999998</v>
      </c>
      <c r="K154" s="371">
        <v>0.39400000000000002</v>
      </c>
      <c r="L154" s="371">
        <v>0.40600000000000003</v>
      </c>
      <c r="M154" s="371">
        <v>0.41599999999999998</v>
      </c>
      <c r="N154" s="371">
        <v>0.42299999999999999</v>
      </c>
      <c r="O154" s="371">
        <v>0.43099999999999999</v>
      </c>
      <c r="P154" s="371">
        <v>0.44700000000000001</v>
      </c>
      <c r="Q154" s="371">
        <v>0.45300000000000001</v>
      </c>
      <c r="R154" s="371">
        <v>0.45500000000000002</v>
      </c>
      <c r="S154" s="371">
        <v>0.45500000000000002</v>
      </c>
      <c r="T154" s="371">
        <v>0.45500000000000002</v>
      </c>
      <c r="U154" s="371">
        <v>0.45500000000000002</v>
      </c>
      <c r="V154" s="371">
        <v>0.45500000000000002</v>
      </c>
      <c r="W154" s="371">
        <v>0.45500000000000002</v>
      </c>
      <c r="X154" s="371">
        <v>2</v>
      </c>
      <c r="Y154" s="381">
        <v>1000</v>
      </c>
    </row>
    <row r="155" spans="1:26" x14ac:dyDescent="0.2">
      <c r="A155" s="378" t="s">
        <v>34</v>
      </c>
      <c r="B155" s="372">
        <v>0</v>
      </c>
      <c r="C155" s="373">
        <v>79.242000000000004</v>
      </c>
      <c r="D155" s="373">
        <v>90.427000000000007</v>
      </c>
      <c r="E155" s="373">
        <v>101.422</v>
      </c>
      <c r="F155" s="373">
        <v>127.583</v>
      </c>
      <c r="G155" s="373">
        <v>136.114</v>
      </c>
      <c r="H155" s="373">
        <v>139.905</v>
      </c>
      <c r="I155" s="373">
        <v>143.50700000000001</v>
      </c>
      <c r="J155" s="373">
        <v>138.578</v>
      </c>
      <c r="K155" s="373">
        <v>125.498</v>
      </c>
      <c r="L155" s="373">
        <v>123.602</v>
      </c>
      <c r="M155" s="373">
        <v>125.11799999999999</v>
      </c>
      <c r="N155" s="373">
        <v>130.047</v>
      </c>
      <c r="O155" s="373">
        <v>120.569</v>
      </c>
      <c r="P155" s="373">
        <v>25.591999999999999</v>
      </c>
      <c r="Q155" s="373">
        <v>8.7200000000000006</v>
      </c>
      <c r="R155" s="373">
        <v>0</v>
      </c>
      <c r="S155" s="373">
        <v>0</v>
      </c>
      <c r="T155" s="373">
        <v>0</v>
      </c>
      <c r="U155" s="373">
        <v>0</v>
      </c>
      <c r="V155" s="373">
        <v>0</v>
      </c>
      <c r="W155" s="373">
        <v>0</v>
      </c>
      <c r="X155" s="373">
        <v>0</v>
      </c>
      <c r="Y155" s="382">
        <v>0</v>
      </c>
    </row>
    <row r="156" spans="1:26" ht="13.5" thickBot="1" x14ac:dyDescent="0.25">
      <c r="A156" s="379" t="s">
        <v>117</v>
      </c>
      <c r="B156" s="374">
        <f t="shared" ref="B156:X156" si="56">(C155+B155)*(C154-B154)/2</f>
        <v>0.515073</v>
      </c>
      <c r="C156" s="375">
        <f t="shared" si="56"/>
        <v>0.3393380000000002</v>
      </c>
      <c r="D156" s="375">
        <f t="shared" si="56"/>
        <v>2.2062634999999999</v>
      </c>
      <c r="E156" s="375">
        <f t="shared" si="56"/>
        <v>9.7327124999999981</v>
      </c>
      <c r="F156" s="375">
        <f t="shared" si="56"/>
        <v>7.1198189999999988</v>
      </c>
      <c r="G156" s="375">
        <f t="shared" si="56"/>
        <v>5.9344085000000018</v>
      </c>
      <c r="H156" s="375">
        <f t="shared" si="56"/>
        <v>9.4943019999999976</v>
      </c>
      <c r="I156" s="375">
        <f t="shared" si="56"/>
        <v>9.167762500000002</v>
      </c>
      <c r="J156" s="375">
        <f t="shared" si="56"/>
        <v>5.2815200000000049</v>
      </c>
      <c r="K156" s="375">
        <f t="shared" si="56"/>
        <v>1.4946000000000015</v>
      </c>
      <c r="L156" s="375">
        <f t="shared" si="56"/>
        <v>1.2435999999999943</v>
      </c>
      <c r="M156" s="375">
        <f t="shared" si="56"/>
        <v>0.89307750000000075</v>
      </c>
      <c r="N156" s="375">
        <f t="shared" si="56"/>
        <v>1.0024640000000009</v>
      </c>
      <c r="O156" s="375">
        <f t="shared" si="56"/>
        <v>1.169288000000001</v>
      </c>
      <c r="P156" s="375">
        <f t="shared" si="56"/>
        <v>0.10293600000000008</v>
      </c>
      <c r="Q156" s="375">
        <f t="shared" si="56"/>
        <v>8.720000000000009E-3</v>
      </c>
      <c r="R156" s="375">
        <f t="shared" si="56"/>
        <v>0</v>
      </c>
      <c r="S156" s="375">
        <f t="shared" si="56"/>
        <v>0</v>
      </c>
      <c r="T156" s="375">
        <f t="shared" si="56"/>
        <v>0</v>
      </c>
      <c r="U156" s="375">
        <f t="shared" si="56"/>
        <v>0</v>
      </c>
      <c r="V156" s="375">
        <f t="shared" si="56"/>
        <v>0</v>
      </c>
      <c r="W156" s="375">
        <f t="shared" si="56"/>
        <v>0</v>
      </c>
      <c r="X156" s="375">
        <f t="shared" si="56"/>
        <v>0</v>
      </c>
      <c r="Y156" s="369"/>
    </row>
    <row r="157" spans="1:26" ht="13.5" thickBot="1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6" ht="13.5" thickBot="1" x14ac:dyDescent="0.25">
      <c r="A158" s="361" t="s">
        <v>385</v>
      </c>
      <c r="B158" s="359">
        <f>ROW(A158)</f>
        <v>158</v>
      </c>
      <c r="C158" s="363" t="s">
        <v>116</v>
      </c>
      <c r="D158" s="353">
        <f>SUM(B161:Y161)</f>
        <v>57.190000000000005</v>
      </c>
      <c r="E158" s="363" t="s">
        <v>115</v>
      </c>
      <c r="F158" s="354">
        <f>D158/g/J158</f>
        <v>188.05695307618953</v>
      </c>
      <c r="G158" s="363" t="s">
        <v>57</v>
      </c>
      <c r="H158" s="64">
        <v>9.9000000000000005E-2</v>
      </c>
      <c r="I158" s="363" t="s">
        <v>270</v>
      </c>
      <c r="J158" s="355">
        <f>H158-L158</f>
        <v>3.1E-2</v>
      </c>
      <c r="K158" s="363" t="s">
        <v>271</v>
      </c>
      <c r="L158" s="64">
        <v>6.8000000000000005E-2</v>
      </c>
      <c r="M158" s="363" t="s">
        <v>58</v>
      </c>
      <c r="N158" s="65">
        <v>49</v>
      </c>
      <c r="O158" s="363" t="s">
        <v>60</v>
      </c>
      <c r="P158" s="65">
        <v>49</v>
      </c>
      <c r="Q158" s="363" t="s">
        <v>61</v>
      </c>
      <c r="R158" s="65">
        <v>98</v>
      </c>
      <c r="S158" s="363" t="s">
        <v>62</v>
      </c>
      <c r="T158" s="65">
        <v>29</v>
      </c>
      <c r="U158" s="363" t="s">
        <v>55</v>
      </c>
      <c r="V158" s="66" t="s">
        <v>400</v>
      </c>
      <c r="W158" s="463" t="s">
        <v>394</v>
      </c>
      <c r="X158" s="465">
        <v>0.96</v>
      </c>
      <c r="Y158" s="463" t="s">
        <v>393</v>
      </c>
      <c r="Z158" s="358">
        <v>12</v>
      </c>
    </row>
    <row r="159" spans="1:26" x14ac:dyDescent="0.2">
      <c r="A159" s="362" t="s">
        <v>33</v>
      </c>
      <c r="B159" s="370">
        <v>0</v>
      </c>
      <c r="C159" s="371">
        <v>0.01</v>
      </c>
      <c r="D159" s="371">
        <v>0.02</v>
      </c>
      <c r="E159" s="371">
        <v>0.03</v>
      </c>
      <c r="F159" s="371">
        <v>0.04</v>
      </c>
      <c r="G159" s="371">
        <v>7.0000000000000007E-2</v>
      </c>
      <c r="H159" s="371">
        <v>0.1</v>
      </c>
      <c r="I159" s="371">
        <v>0.2</v>
      </c>
      <c r="J159" s="371">
        <v>0.3</v>
      </c>
      <c r="K159" s="371">
        <v>0.4</v>
      </c>
      <c r="L159" s="371">
        <v>0.5</v>
      </c>
      <c r="M159" s="371">
        <v>0.6</v>
      </c>
      <c r="N159" s="371">
        <v>0.7</v>
      </c>
      <c r="O159" s="371">
        <v>0.87</v>
      </c>
      <c r="P159" s="371">
        <v>0.9</v>
      </c>
      <c r="Q159" s="371">
        <v>0.97</v>
      </c>
      <c r="R159" s="371">
        <v>0.97</v>
      </c>
      <c r="S159" s="371">
        <v>0.97</v>
      </c>
      <c r="T159" s="371">
        <v>0.97</v>
      </c>
      <c r="U159" s="371">
        <v>0.97</v>
      </c>
      <c r="V159" s="371">
        <v>0.97</v>
      </c>
      <c r="W159" s="371">
        <v>0.97</v>
      </c>
      <c r="X159" s="371">
        <v>2</v>
      </c>
      <c r="Y159" s="381">
        <v>1000</v>
      </c>
    </row>
    <row r="160" spans="1:26" x14ac:dyDescent="0.2">
      <c r="A160" s="378" t="s">
        <v>34</v>
      </c>
      <c r="B160" s="372">
        <v>0</v>
      </c>
      <c r="C160" s="373">
        <v>16</v>
      </c>
      <c r="D160" s="373">
        <v>62</v>
      </c>
      <c r="E160" s="373">
        <v>67</v>
      </c>
      <c r="F160" s="373">
        <v>71</v>
      </c>
      <c r="G160" s="373">
        <v>58</v>
      </c>
      <c r="H160" s="373">
        <v>63</v>
      </c>
      <c r="I160" s="373">
        <v>67</v>
      </c>
      <c r="J160" s="373">
        <v>69</v>
      </c>
      <c r="K160" s="373">
        <v>67</v>
      </c>
      <c r="L160" s="373">
        <v>65</v>
      </c>
      <c r="M160" s="373">
        <v>63</v>
      </c>
      <c r="N160" s="373">
        <v>61</v>
      </c>
      <c r="O160" s="373">
        <v>60</v>
      </c>
      <c r="P160" s="373">
        <v>23</v>
      </c>
      <c r="Q160" s="373">
        <v>0</v>
      </c>
      <c r="R160" s="373">
        <v>0</v>
      </c>
      <c r="S160" s="373">
        <v>0</v>
      </c>
      <c r="T160" s="373">
        <v>0</v>
      </c>
      <c r="U160" s="373">
        <v>0</v>
      </c>
      <c r="V160" s="373">
        <v>0</v>
      </c>
      <c r="W160" s="373">
        <v>0</v>
      </c>
      <c r="X160" s="373">
        <v>0</v>
      </c>
      <c r="Y160" s="382">
        <v>0</v>
      </c>
    </row>
    <row r="161" spans="1:26" ht="13.5" thickBot="1" x14ac:dyDescent="0.25">
      <c r="A161" s="379" t="s">
        <v>117</v>
      </c>
      <c r="B161" s="374">
        <f t="shared" ref="B161:X161" si="57">(C160+B160)*(C159-B159)/2</f>
        <v>0.08</v>
      </c>
      <c r="C161" s="375">
        <f t="shared" si="57"/>
        <v>0.39</v>
      </c>
      <c r="D161" s="375">
        <f t="shared" si="57"/>
        <v>0.64499999999999991</v>
      </c>
      <c r="E161" s="375">
        <f t="shared" si="57"/>
        <v>0.69000000000000017</v>
      </c>
      <c r="F161" s="375">
        <f t="shared" si="57"/>
        <v>1.9350000000000003</v>
      </c>
      <c r="G161" s="375">
        <f t="shared" si="57"/>
        <v>1.8149999999999999</v>
      </c>
      <c r="H161" s="375">
        <f t="shared" si="57"/>
        <v>6.5</v>
      </c>
      <c r="I161" s="375">
        <f t="shared" si="57"/>
        <v>6.7999999999999989</v>
      </c>
      <c r="J161" s="375">
        <f t="shared" si="57"/>
        <v>6.8000000000000025</v>
      </c>
      <c r="K161" s="375">
        <f t="shared" si="57"/>
        <v>6.5999999999999988</v>
      </c>
      <c r="L161" s="375">
        <f t="shared" si="57"/>
        <v>6.3999999999999986</v>
      </c>
      <c r="M161" s="375">
        <f t="shared" si="57"/>
        <v>6.1999999999999984</v>
      </c>
      <c r="N161" s="375">
        <f t="shared" si="57"/>
        <v>10.285000000000002</v>
      </c>
      <c r="O161" s="375">
        <f t="shared" si="57"/>
        <v>1.245000000000001</v>
      </c>
      <c r="P161" s="375">
        <f t="shared" si="57"/>
        <v>0.80499999999999949</v>
      </c>
      <c r="Q161" s="375">
        <f t="shared" si="57"/>
        <v>0</v>
      </c>
      <c r="R161" s="375">
        <f t="shared" si="57"/>
        <v>0</v>
      </c>
      <c r="S161" s="375">
        <f t="shared" si="57"/>
        <v>0</v>
      </c>
      <c r="T161" s="375">
        <f t="shared" si="57"/>
        <v>0</v>
      </c>
      <c r="U161" s="375">
        <f t="shared" si="57"/>
        <v>0</v>
      </c>
      <c r="V161" s="375">
        <f t="shared" si="57"/>
        <v>0</v>
      </c>
      <c r="W161" s="375">
        <f t="shared" si="57"/>
        <v>0</v>
      </c>
      <c r="X161" s="375">
        <f t="shared" si="57"/>
        <v>0</v>
      </c>
      <c r="Y161" s="369"/>
    </row>
    <row r="162" spans="1:26" ht="13.5" thickBot="1" x14ac:dyDescent="0.25">
      <c r="A162" s="6" t="s">
        <v>314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6" ht="13.5" thickBot="1" x14ac:dyDescent="0.25">
      <c r="A163" s="361" t="s">
        <v>321</v>
      </c>
      <c r="B163" s="359">
        <f>ROW(A163)</f>
        <v>163</v>
      </c>
      <c r="C163" s="363" t="s">
        <v>116</v>
      </c>
      <c r="D163" s="353">
        <f>SUM(B166:Y166)</f>
        <v>59.702267000000006</v>
      </c>
      <c r="E163" s="363" t="s">
        <v>115</v>
      </c>
      <c r="F163" s="354">
        <f>D163/g/J163</f>
        <v>190.77924771281306</v>
      </c>
      <c r="G163" s="363" t="s">
        <v>57</v>
      </c>
      <c r="H163" s="64">
        <v>9.3899999999999997E-2</v>
      </c>
      <c r="I163" s="363" t="s">
        <v>270</v>
      </c>
      <c r="J163" s="355">
        <f>H163-L163</f>
        <v>3.1899999999999998E-2</v>
      </c>
      <c r="K163" s="363" t="s">
        <v>271</v>
      </c>
      <c r="L163" s="64">
        <f>0.095-0.033</f>
        <v>6.2E-2</v>
      </c>
      <c r="M163" s="363" t="s">
        <v>58</v>
      </c>
      <c r="N163" s="396">
        <v>66.5</v>
      </c>
      <c r="O163" s="363" t="s">
        <v>60</v>
      </c>
      <c r="P163" s="396">
        <v>66.5</v>
      </c>
      <c r="Q163" s="363" t="s">
        <v>61</v>
      </c>
      <c r="R163" s="65">
        <v>133</v>
      </c>
      <c r="S163" s="363" t="s">
        <v>62</v>
      </c>
      <c r="T163" s="65">
        <v>24</v>
      </c>
      <c r="U163" s="363" t="s">
        <v>55</v>
      </c>
      <c r="V163" s="66" t="s">
        <v>399</v>
      </c>
      <c r="W163" s="463" t="s">
        <v>394</v>
      </c>
      <c r="X163" s="465">
        <v>1.2</v>
      </c>
      <c r="Y163" s="463" t="s">
        <v>393</v>
      </c>
      <c r="Z163" s="358">
        <v>13</v>
      </c>
    </row>
    <row r="164" spans="1:26" x14ac:dyDescent="0.2">
      <c r="A164" s="362" t="s">
        <v>33</v>
      </c>
      <c r="B164" s="370">
        <v>0</v>
      </c>
      <c r="C164" s="371">
        <v>1.4999999999999999E-2</v>
      </c>
      <c r="D164" s="371">
        <v>2.1999999999999999E-2</v>
      </c>
      <c r="E164" s="371">
        <v>6.4000000000000001E-2</v>
      </c>
      <c r="F164" s="371">
        <v>0.11799999999999999</v>
      </c>
      <c r="G164" s="371">
        <v>0.34200000000000003</v>
      </c>
      <c r="H164" s="371">
        <v>0.53600000000000003</v>
      </c>
      <c r="I164" s="371">
        <v>0.74299999999999999</v>
      </c>
      <c r="J164" s="371">
        <v>0.88400000000000001</v>
      </c>
      <c r="K164" s="371">
        <v>0.97599999999999998</v>
      </c>
      <c r="L164" s="371">
        <v>1.0960000000000001</v>
      </c>
      <c r="M164" s="371">
        <v>1.246</v>
      </c>
      <c r="N164" s="371">
        <v>1.298</v>
      </c>
      <c r="O164" s="371">
        <v>2</v>
      </c>
      <c r="P164" s="371">
        <v>2</v>
      </c>
      <c r="Q164" s="371">
        <v>2</v>
      </c>
      <c r="R164" s="371">
        <v>2</v>
      </c>
      <c r="S164" s="371">
        <v>2</v>
      </c>
      <c r="T164" s="371">
        <v>2</v>
      </c>
      <c r="U164" s="371">
        <v>2</v>
      </c>
      <c r="V164" s="371">
        <v>2</v>
      </c>
      <c r="W164" s="371">
        <v>2</v>
      </c>
      <c r="X164" s="371">
        <f t="shared" ref="T164:X165" si="58">W164</f>
        <v>2</v>
      </c>
      <c r="Y164" s="381">
        <v>1000</v>
      </c>
    </row>
    <row r="165" spans="1:26" x14ac:dyDescent="0.2">
      <c r="A165" s="378" t="s">
        <v>34</v>
      </c>
      <c r="B165" s="372">
        <v>0</v>
      </c>
      <c r="C165" s="373">
        <v>64.981999999999999</v>
      </c>
      <c r="D165" s="373">
        <v>69.516000000000005</v>
      </c>
      <c r="E165" s="373">
        <v>55.536999999999999</v>
      </c>
      <c r="F165" s="373">
        <v>62.81</v>
      </c>
      <c r="G165" s="373">
        <v>62.149000000000001</v>
      </c>
      <c r="H165" s="373">
        <v>59.41</v>
      </c>
      <c r="I165" s="373">
        <v>53.837000000000003</v>
      </c>
      <c r="J165" s="373">
        <v>46.942</v>
      </c>
      <c r="K165" s="373">
        <v>40.046999999999997</v>
      </c>
      <c r="L165" s="373">
        <v>12.561999999999999</v>
      </c>
      <c r="M165" s="373">
        <v>2.0779999999999998</v>
      </c>
      <c r="N165" s="373">
        <v>0</v>
      </c>
      <c r="O165" s="373">
        <v>0</v>
      </c>
      <c r="P165" s="373">
        <v>0</v>
      </c>
      <c r="Q165" s="373">
        <v>0</v>
      </c>
      <c r="R165" s="373">
        <v>0</v>
      </c>
      <c r="S165" s="373">
        <v>0</v>
      </c>
      <c r="T165" s="373">
        <f t="shared" si="58"/>
        <v>0</v>
      </c>
      <c r="U165" s="373">
        <f t="shared" si="58"/>
        <v>0</v>
      </c>
      <c r="V165" s="373">
        <f t="shared" si="58"/>
        <v>0</v>
      </c>
      <c r="W165" s="373">
        <f t="shared" si="58"/>
        <v>0</v>
      </c>
      <c r="X165" s="373">
        <f t="shared" si="58"/>
        <v>0</v>
      </c>
      <c r="Y165" s="382">
        <v>0</v>
      </c>
    </row>
    <row r="166" spans="1:26" ht="13.5" thickBot="1" x14ac:dyDescent="0.25">
      <c r="A166" s="379" t="s">
        <v>117</v>
      </c>
      <c r="B166" s="374">
        <f t="shared" ref="B166:V166" si="59">(C165+B165)*(C164-B164)/2</f>
        <v>0.48736499999999999</v>
      </c>
      <c r="C166" s="375">
        <f t="shared" si="59"/>
        <v>0.47074299999999991</v>
      </c>
      <c r="D166" s="375">
        <f t="shared" si="59"/>
        <v>2.6261130000000001</v>
      </c>
      <c r="E166" s="375">
        <f t="shared" si="59"/>
        <v>3.1953689999999999</v>
      </c>
      <c r="F166" s="375">
        <f t="shared" si="59"/>
        <v>13.995408000000003</v>
      </c>
      <c r="G166" s="375">
        <f t="shared" si="59"/>
        <v>11.791223</v>
      </c>
      <c r="H166" s="375">
        <f t="shared" si="59"/>
        <v>11.721064499999997</v>
      </c>
      <c r="I166" s="375">
        <f t="shared" si="59"/>
        <v>7.1049195000000003</v>
      </c>
      <c r="J166" s="375">
        <f>(K165+J165)*(K164-J164)/2</f>
        <v>4.0014939999999992</v>
      </c>
      <c r="K166" s="375">
        <f t="shared" si="59"/>
        <v>3.1565400000000023</v>
      </c>
      <c r="L166" s="375">
        <f t="shared" si="59"/>
        <v>1.0979999999999992</v>
      </c>
      <c r="M166" s="375">
        <f t="shared" si="59"/>
        <v>5.4028000000000041E-2</v>
      </c>
      <c r="N166" s="375">
        <f t="shared" si="59"/>
        <v>0</v>
      </c>
      <c r="O166" s="375">
        <f t="shared" si="59"/>
        <v>0</v>
      </c>
      <c r="P166" s="375">
        <f t="shared" si="59"/>
        <v>0</v>
      </c>
      <c r="Q166" s="375">
        <f t="shared" si="59"/>
        <v>0</v>
      </c>
      <c r="R166" s="375">
        <f t="shared" si="59"/>
        <v>0</v>
      </c>
      <c r="S166" s="375">
        <f>(T165+S165)*(T164-S164)/2</f>
        <v>0</v>
      </c>
      <c r="T166" s="375">
        <f t="shared" si="59"/>
        <v>0</v>
      </c>
      <c r="U166" s="375">
        <f t="shared" si="59"/>
        <v>0</v>
      </c>
      <c r="V166" s="375">
        <f t="shared" si="59"/>
        <v>0</v>
      </c>
      <c r="W166" s="375">
        <f>(X165+W165)*(X164-W164)/2</f>
        <v>0</v>
      </c>
      <c r="X166" s="375">
        <f>(Y165+X165)*(Y164-X164)/2</f>
        <v>0</v>
      </c>
      <c r="Y166" s="369"/>
    </row>
    <row r="167" spans="1:26" ht="13.5" thickBot="1" x14ac:dyDescent="0.25"/>
    <row r="168" spans="1:26" ht="13.5" thickBot="1" x14ac:dyDescent="0.25">
      <c r="A168" s="361" t="s">
        <v>322</v>
      </c>
      <c r="B168" s="359">
        <f>ROW(A168)</f>
        <v>168</v>
      </c>
      <c r="C168" s="363" t="s">
        <v>116</v>
      </c>
      <c r="D168" s="353">
        <f>SUM(B171:Y171)</f>
        <v>68.380602999999994</v>
      </c>
      <c r="E168" s="363" t="s">
        <v>115</v>
      </c>
      <c r="F168" s="354">
        <f>D168/g/J168</f>
        <v>134.04807300243078</v>
      </c>
      <c r="G168" s="363" t="s">
        <v>57</v>
      </c>
      <c r="H168" s="64">
        <v>0.1075</v>
      </c>
      <c r="I168" s="363" t="s">
        <v>270</v>
      </c>
      <c r="J168" s="355">
        <f>H168-L168</f>
        <v>5.1999999999999998E-2</v>
      </c>
      <c r="K168" s="363" t="s">
        <v>271</v>
      </c>
      <c r="L168" s="64">
        <v>5.5500000000000001E-2</v>
      </c>
      <c r="M168" s="363" t="s">
        <v>58</v>
      </c>
      <c r="N168" s="396">
        <v>66.5</v>
      </c>
      <c r="O168" s="363" t="s">
        <v>60</v>
      </c>
      <c r="P168" s="396">
        <v>66.5</v>
      </c>
      <c r="Q168" s="363" t="s">
        <v>61</v>
      </c>
      <c r="R168" s="65">
        <v>133</v>
      </c>
      <c r="S168" s="363" t="s">
        <v>62</v>
      </c>
      <c r="T168" s="65">
        <v>24</v>
      </c>
      <c r="U168" s="363" t="s">
        <v>55</v>
      </c>
      <c r="V168" s="66" t="s">
        <v>399</v>
      </c>
      <c r="W168" s="463" t="s">
        <v>394</v>
      </c>
      <c r="X168" s="465">
        <v>0.86</v>
      </c>
      <c r="Y168" s="463" t="s">
        <v>393</v>
      </c>
      <c r="Z168" s="358">
        <v>13</v>
      </c>
    </row>
    <row r="169" spans="1:26" x14ac:dyDescent="0.2">
      <c r="A169" s="362" t="s">
        <v>33</v>
      </c>
      <c r="B169" s="370">
        <v>0</v>
      </c>
      <c r="C169" s="371">
        <v>5.0000000000000001E-3</v>
      </c>
      <c r="D169" s="371">
        <v>1.2999999999999999E-2</v>
      </c>
      <c r="E169" s="371">
        <v>2.1999999999999999E-2</v>
      </c>
      <c r="F169" s="371">
        <v>4.2999999999999997E-2</v>
      </c>
      <c r="G169" s="371">
        <v>0.11899999999999999</v>
      </c>
      <c r="H169" s="371">
        <v>0.19800000000000001</v>
      </c>
      <c r="I169" s="371">
        <v>0.26700000000000002</v>
      </c>
      <c r="J169" s="371">
        <v>0.34300000000000003</v>
      </c>
      <c r="K169" s="371">
        <v>0.40400000000000003</v>
      </c>
      <c r="L169" s="371">
        <v>0.498</v>
      </c>
      <c r="M169" s="371">
        <v>0.55500000000000005</v>
      </c>
      <c r="N169" s="371">
        <v>0.622</v>
      </c>
      <c r="O169" s="371">
        <v>0.66300000000000003</v>
      </c>
      <c r="P169" s="371">
        <v>0.70399999999999996</v>
      </c>
      <c r="Q169" s="371">
        <v>0.72899999999999998</v>
      </c>
      <c r="R169" s="371">
        <v>0.747</v>
      </c>
      <c r="S169" s="371">
        <v>0.76800000000000002</v>
      </c>
      <c r="T169" s="371">
        <v>0.82099999999999995</v>
      </c>
      <c r="U169" s="371">
        <v>0.85199999999999998</v>
      </c>
      <c r="V169" s="371">
        <v>0.89200000000000002</v>
      </c>
      <c r="W169" s="371">
        <v>1</v>
      </c>
      <c r="X169" s="371">
        <v>2</v>
      </c>
      <c r="Y169" s="381">
        <v>1000</v>
      </c>
    </row>
    <row r="170" spans="1:26" x14ac:dyDescent="0.2">
      <c r="A170" s="378" t="s">
        <v>34</v>
      </c>
      <c r="B170" s="372">
        <v>0</v>
      </c>
      <c r="C170" s="373">
        <v>60</v>
      </c>
      <c r="D170" s="373">
        <v>89.007000000000005</v>
      </c>
      <c r="E170" s="373">
        <v>96.290999999999997</v>
      </c>
      <c r="F170" s="373">
        <v>81.721999999999994</v>
      </c>
      <c r="G170" s="373">
        <v>85.563000000000002</v>
      </c>
      <c r="H170" s="373">
        <v>87.947000000000003</v>
      </c>
      <c r="I170" s="373">
        <v>89.272000000000006</v>
      </c>
      <c r="J170" s="373">
        <v>89.933999999999997</v>
      </c>
      <c r="K170" s="373">
        <v>90.861000000000004</v>
      </c>
      <c r="L170" s="373">
        <v>91.522999999999996</v>
      </c>
      <c r="M170" s="373">
        <v>89.668999999999997</v>
      </c>
      <c r="N170" s="373">
        <v>83.974000000000004</v>
      </c>
      <c r="O170" s="373">
        <v>80.53</v>
      </c>
      <c r="P170" s="373">
        <v>78.94</v>
      </c>
      <c r="Q170" s="373">
        <v>74.171999999999997</v>
      </c>
      <c r="R170" s="373">
        <v>66.887</v>
      </c>
      <c r="S170" s="373">
        <v>53.774999999999999</v>
      </c>
      <c r="T170" s="373">
        <v>18.542999999999999</v>
      </c>
      <c r="U170" s="373">
        <v>7.8150000000000004</v>
      </c>
      <c r="V170" s="373">
        <v>2.1190000000000002</v>
      </c>
      <c r="W170" s="373">
        <v>0</v>
      </c>
      <c r="X170" s="373">
        <v>0</v>
      </c>
      <c r="Y170" s="382">
        <v>0</v>
      </c>
    </row>
    <row r="171" spans="1:26" ht="13.5" thickBot="1" x14ac:dyDescent="0.25">
      <c r="A171" s="379" t="s">
        <v>117</v>
      </c>
      <c r="B171" s="374">
        <f t="shared" ref="B171:X171" si="60">(C170+B170)*(C169-B169)/2</f>
        <v>0.15</v>
      </c>
      <c r="C171" s="375">
        <f t="shared" si="60"/>
        <v>0.596028</v>
      </c>
      <c r="D171" s="375">
        <f t="shared" si="60"/>
        <v>0.83384099999999994</v>
      </c>
      <c r="E171" s="375">
        <f t="shared" si="60"/>
        <v>1.8691364999999995</v>
      </c>
      <c r="F171" s="375">
        <f t="shared" si="60"/>
        <v>6.3568299999999995</v>
      </c>
      <c r="G171" s="375">
        <f t="shared" si="60"/>
        <v>6.8536450000000011</v>
      </c>
      <c r="H171" s="375">
        <f t="shared" si="60"/>
        <v>6.1140555000000001</v>
      </c>
      <c r="I171" s="375">
        <f t="shared" si="60"/>
        <v>6.8098280000000013</v>
      </c>
      <c r="J171" s="375">
        <f t="shared" si="60"/>
        <v>5.5142475000000006</v>
      </c>
      <c r="K171" s="375">
        <f t="shared" si="60"/>
        <v>8.5720479999999988</v>
      </c>
      <c r="L171" s="375">
        <f t="shared" si="60"/>
        <v>5.1639720000000047</v>
      </c>
      <c r="M171" s="375">
        <f t="shared" si="60"/>
        <v>5.8170404999999956</v>
      </c>
      <c r="N171" s="375">
        <f t="shared" si="60"/>
        <v>3.3723320000000032</v>
      </c>
      <c r="O171" s="375">
        <f t="shared" si="60"/>
        <v>3.2691349999999941</v>
      </c>
      <c r="P171" s="375">
        <f t="shared" si="60"/>
        <v>1.9139000000000017</v>
      </c>
      <c r="Q171" s="375">
        <f t="shared" si="60"/>
        <v>1.2695310000000011</v>
      </c>
      <c r="R171" s="375">
        <f t="shared" si="60"/>
        <v>1.2669510000000013</v>
      </c>
      <c r="S171" s="375">
        <f t="shared" si="60"/>
        <v>1.9164269999999977</v>
      </c>
      <c r="T171" s="375">
        <f t="shared" si="60"/>
        <v>0.40854900000000038</v>
      </c>
      <c r="U171" s="375">
        <f t="shared" si="60"/>
        <v>0.19868000000000019</v>
      </c>
      <c r="V171" s="375">
        <f t="shared" si="60"/>
        <v>0.114426</v>
      </c>
      <c r="W171" s="375">
        <f t="shared" si="60"/>
        <v>0</v>
      </c>
      <c r="X171" s="375">
        <f t="shared" si="60"/>
        <v>0</v>
      </c>
      <c r="Y171" s="369"/>
    </row>
    <row r="172" spans="1:26" ht="13.5" thickBo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6" ht="13.5" thickBot="1" x14ac:dyDescent="0.25">
      <c r="A173" s="361" t="s">
        <v>323</v>
      </c>
      <c r="B173" s="359">
        <f>ROW(A173)</f>
        <v>173</v>
      </c>
      <c r="C173" s="363" t="s">
        <v>116</v>
      </c>
      <c r="D173" s="353">
        <f>SUM(B176:Y176)</f>
        <v>67.985428500000012</v>
      </c>
      <c r="E173" s="363" t="s">
        <v>115</v>
      </c>
      <c r="F173" s="354">
        <f>D173/g/J173</f>
        <v>181.89545859519862</v>
      </c>
      <c r="G173" s="363" t="s">
        <v>57</v>
      </c>
      <c r="H173" s="64">
        <v>9.1799999999999993E-2</v>
      </c>
      <c r="I173" s="363" t="s">
        <v>270</v>
      </c>
      <c r="J173" s="355">
        <f>H173-L173</f>
        <v>3.8099999999999988E-2</v>
      </c>
      <c r="K173" s="363" t="s">
        <v>271</v>
      </c>
      <c r="L173" s="64">
        <v>5.3700000000000005E-2</v>
      </c>
      <c r="M173" s="363" t="s">
        <v>58</v>
      </c>
      <c r="N173" s="396">
        <v>66.5</v>
      </c>
      <c r="O173" s="363" t="s">
        <v>60</v>
      </c>
      <c r="P173" s="396">
        <v>66.5</v>
      </c>
      <c r="Q173" s="363" t="s">
        <v>61</v>
      </c>
      <c r="R173" s="65">
        <v>133</v>
      </c>
      <c r="S173" s="363" t="s">
        <v>62</v>
      </c>
      <c r="T173" s="65">
        <v>24</v>
      </c>
      <c r="U173" s="363" t="s">
        <v>55</v>
      </c>
      <c r="V173" s="66" t="s">
        <v>399</v>
      </c>
      <c r="W173" s="463" t="s">
        <v>394</v>
      </c>
      <c r="X173" s="465">
        <v>0.33</v>
      </c>
      <c r="Y173" s="463" t="s">
        <v>393</v>
      </c>
      <c r="Z173" s="358">
        <v>15</v>
      </c>
    </row>
    <row r="174" spans="1:26" x14ac:dyDescent="0.2">
      <c r="A174" s="362" t="s">
        <v>33</v>
      </c>
      <c r="B174" s="370">
        <v>0</v>
      </c>
      <c r="C174" s="371">
        <v>4.0000000000000001E-3</v>
      </c>
      <c r="D174" s="371">
        <v>7.0000000000000001E-3</v>
      </c>
      <c r="E174" s="371">
        <v>0.01</v>
      </c>
      <c r="F174" s="371">
        <v>2.1999999999999999E-2</v>
      </c>
      <c r="G174" s="371">
        <v>2.8000000000000001E-2</v>
      </c>
      <c r="H174" s="371">
        <v>4.1000000000000002E-2</v>
      </c>
      <c r="I174" s="371">
        <v>5.8000000000000003E-2</v>
      </c>
      <c r="J174" s="371">
        <v>7.6999999999999999E-2</v>
      </c>
      <c r="K174" s="371">
        <v>8.8999999999999996E-2</v>
      </c>
      <c r="L174" s="371">
        <v>9.7000000000000003E-2</v>
      </c>
      <c r="M174" s="371">
        <v>0.11899999999999999</v>
      </c>
      <c r="N174" s="371">
        <v>0.14699999999999999</v>
      </c>
      <c r="O174" s="371">
        <v>0.17699999999999999</v>
      </c>
      <c r="P174" s="371">
        <v>0.20699999999999999</v>
      </c>
      <c r="Q174" s="371">
        <v>0.253</v>
      </c>
      <c r="R174" s="371">
        <v>0.25900000000000001</v>
      </c>
      <c r="S174" s="371">
        <v>0.27200000000000002</v>
      </c>
      <c r="T174" s="371">
        <v>0.28000000000000003</v>
      </c>
      <c r="U174" s="371">
        <v>0.28599999999999998</v>
      </c>
      <c r="V174" s="371">
        <v>0.29399999999999998</v>
      </c>
      <c r="W174" s="371">
        <v>0.32800000000000001</v>
      </c>
      <c r="X174" s="371">
        <v>2</v>
      </c>
      <c r="Y174" s="381">
        <v>1000</v>
      </c>
    </row>
    <row r="175" spans="1:26" x14ac:dyDescent="0.2">
      <c r="A175" s="378" t="s">
        <v>34</v>
      </c>
      <c r="B175" s="372">
        <v>0</v>
      </c>
      <c r="C175" s="376">
        <v>100.52800000000001</v>
      </c>
      <c r="D175" s="376">
        <v>197.49299999999999</v>
      </c>
      <c r="E175" s="376">
        <v>222.03200000000001</v>
      </c>
      <c r="F175" s="376">
        <v>241.42500000000001</v>
      </c>
      <c r="G175" s="376">
        <v>237.863</v>
      </c>
      <c r="H175" s="376">
        <v>239.446</v>
      </c>
      <c r="I175" s="376">
        <v>252.50700000000001</v>
      </c>
      <c r="J175" s="376">
        <v>263.98399999999998</v>
      </c>
      <c r="K175" s="376">
        <v>275.46199999999999</v>
      </c>
      <c r="L175" s="376">
        <v>271.50400000000002</v>
      </c>
      <c r="M175" s="376">
        <v>278.62799999999999</v>
      </c>
      <c r="N175" s="376">
        <v>281.39800000000002</v>
      </c>
      <c r="O175" s="376">
        <v>272.29599999999999</v>
      </c>
      <c r="P175" s="376">
        <v>258.44299999999998</v>
      </c>
      <c r="Q175" s="376">
        <v>218.47</v>
      </c>
      <c r="R175" s="376">
        <v>188.786</v>
      </c>
      <c r="S175" s="376">
        <v>74.802000000000007</v>
      </c>
      <c r="T175" s="376">
        <v>31.265999999999998</v>
      </c>
      <c r="U175" s="376">
        <v>15.831</v>
      </c>
      <c r="V175" s="376">
        <v>8.7070000000000007</v>
      </c>
      <c r="W175" s="376">
        <v>0</v>
      </c>
      <c r="X175" s="373">
        <v>0</v>
      </c>
      <c r="Y175" s="382">
        <v>0</v>
      </c>
    </row>
    <row r="176" spans="1:26" ht="13.5" thickBot="1" x14ac:dyDescent="0.25">
      <c r="A176" s="379" t="s">
        <v>117</v>
      </c>
      <c r="B176" s="374">
        <f t="shared" ref="B176:X176" si="61">(C175+B175)*(C174-B174)/2</f>
        <v>0.20105600000000001</v>
      </c>
      <c r="C176" s="375">
        <f t="shared" si="61"/>
        <v>0.44703150000000003</v>
      </c>
      <c r="D176" s="375">
        <f t="shared" si="61"/>
        <v>0.6292875</v>
      </c>
      <c r="E176" s="375">
        <f t="shared" si="61"/>
        <v>2.7807419999999996</v>
      </c>
      <c r="F176" s="375">
        <f t="shared" si="61"/>
        <v>1.4378640000000005</v>
      </c>
      <c r="G176" s="375">
        <f t="shared" si="61"/>
        <v>3.1025084999999999</v>
      </c>
      <c r="H176" s="375">
        <f t="shared" si="61"/>
        <v>4.1816005000000001</v>
      </c>
      <c r="I176" s="375">
        <f t="shared" si="61"/>
        <v>4.9066644999999989</v>
      </c>
      <c r="J176" s="375">
        <f t="shared" si="61"/>
        <v>3.2366759999999988</v>
      </c>
      <c r="K176" s="375">
        <f t="shared" si="61"/>
        <v>2.187864000000002</v>
      </c>
      <c r="L176" s="375">
        <f t="shared" si="61"/>
        <v>6.0514519999999985</v>
      </c>
      <c r="M176" s="375">
        <f t="shared" si="61"/>
        <v>7.8403640000000001</v>
      </c>
      <c r="N176" s="375">
        <f t="shared" si="61"/>
        <v>8.3054099999999984</v>
      </c>
      <c r="O176" s="375">
        <f t="shared" si="61"/>
        <v>7.9610850000000006</v>
      </c>
      <c r="P176" s="375">
        <f t="shared" si="61"/>
        <v>10.968999000000004</v>
      </c>
      <c r="Q176" s="375">
        <f t="shared" si="61"/>
        <v>1.2217680000000011</v>
      </c>
      <c r="R176" s="375">
        <f t="shared" si="61"/>
        <v>1.7133220000000016</v>
      </c>
      <c r="S176" s="375">
        <f t="shared" si="61"/>
        <v>0.42427200000000043</v>
      </c>
      <c r="T176" s="375">
        <f t="shared" si="61"/>
        <v>0.14129099999999881</v>
      </c>
      <c r="U176" s="375">
        <f t="shared" si="61"/>
        <v>9.8152000000000086E-2</v>
      </c>
      <c r="V176" s="375">
        <f t="shared" si="61"/>
        <v>0.14801900000000015</v>
      </c>
      <c r="W176" s="375">
        <f t="shared" si="61"/>
        <v>0</v>
      </c>
      <c r="X176" s="375">
        <f t="shared" si="61"/>
        <v>0</v>
      </c>
      <c r="Y176" s="369"/>
    </row>
    <row r="177" spans="1:26" ht="13.5" thickBo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6" ht="13.5" thickBot="1" x14ac:dyDescent="0.25">
      <c r="A178" s="361" t="s">
        <v>324</v>
      </c>
      <c r="B178" s="359">
        <f>ROW(A178)</f>
        <v>178</v>
      </c>
      <c r="C178" s="363" t="s">
        <v>116</v>
      </c>
      <c r="D178" s="353">
        <f>SUM(B181:Y181)</f>
        <v>73.557381500000005</v>
      </c>
      <c r="E178" s="363" t="s">
        <v>115</v>
      </c>
      <c r="F178" s="354">
        <f>D178/g/J178</f>
        <v>156.86619302308719</v>
      </c>
      <c r="G178" s="363" t="s">
        <v>57</v>
      </c>
      <c r="H178" s="64">
        <v>0.1022</v>
      </c>
      <c r="I178" s="363" t="s">
        <v>270</v>
      </c>
      <c r="J178" s="355">
        <f>H178-L178</f>
        <v>4.7800000000000002E-2</v>
      </c>
      <c r="K178" s="363" t="s">
        <v>271</v>
      </c>
      <c r="L178" s="64">
        <v>5.4399999999999997E-2</v>
      </c>
      <c r="M178" s="363" t="s">
        <v>58</v>
      </c>
      <c r="N178" s="396">
        <v>66.5</v>
      </c>
      <c r="O178" s="363" t="s">
        <v>60</v>
      </c>
      <c r="P178" s="396">
        <v>66.5</v>
      </c>
      <c r="Q178" s="363" t="s">
        <v>61</v>
      </c>
      <c r="R178" s="65">
        <v>133</v>
      </c>
      <c r="S178" s="363" t="s">
        <v>62</v>
      </c>
      <c r="T178" s="65">
        <v>24</v>
      </c>
      <c r="U178" s="363" t="s">
        <v>55</v>
      </c>
      <c r="V178" s="66" t="s">
        <v>399</v>
      </c>
      <c r="W178" s="463" t="s">
        <v>394</v>
      </c>
      <c r="X178" s="465">
        <v>2.36</v>
      </c>
      <c r="Y178" s="463" t="s">
        <v>393</v>
      </c>
      <c r="Z178" s="358">
        <v>6</v>
      </c>
    </row>
    <row r="179" spans="1:26" x14ac:dyDescent="0.2">
      <c r="A179" s="362" t="s">
        <v>33</v>
      </c>
      <c r="B179" s="370">
        <v>0</v>
      </c>
      <c r="C179" s="371">
        <v>1.4E-2</v>
      </c>
      <c r="D179" s="371">
        <v>5.6000000000000001E-2</v>
      </c>
      <c r="E179" s="371">
        <v>9.1999999999999998E-2</v>
      </c>
      <c r="F179" s="371">
        <v>0.16</v>
      </c>
      <c r="G179" s="371">
        <v>0.23200000000000001</v>
      </c>
      <c r="H179" s="371">
        <v>0.36299999999999999</v>
      </c>
      <c r="I179" s="371">
        <v>0.499</v>
      </c>
      <c r="J179" s="371">
        <v>0.65500000000000003</v>
      </c>
      <c r="K179" s="371">
        <v>0.84299999999999997</v>
      </c>
      <c r="L179" s="371">
        <v>1.216</v>
      </c>
      <c r="M179" s="371">
        <v>1.3680000000000001</v>
      </c>
      <c r="N179" s="371">
        <v>1.54</v>
      </c>
      <c r="O179" s="371">
        <v>1.675</v>
      </c>
      <c r="P179" s="371">
        <v>1.861</v>
      </c>
      <c r="Q179" s="371">
        <v>2.0129999999999999</v>
      </c>
      <c r="R179" s="371">
        <v>2.1589999999999998</v>
      </c>
      <c r="S179" s="371">
        <v>2.302</v>
      </c>
      <c r="T179" s="371">
        <v>2.4620000000000002</v>
      </c>
      <c r="U179" s="371">
        <v>2.5979999999999999</v>
      </c>
      <c r="V179" s="371">
        <v>2.5979999999999999</v>
      </c>
      <c r="W179" s="371">
        <v>2.5979999999999999</v>
      </c>
      <c r="X179" s="371">
        <v>2.5979999999999999</v>
      </c>
      <c r="Y179" s="381">
        <v>1000</v>
      </c>
    </row>
    <row r="180" spans="1:26" x14ac:dyDescent="0.2">
      <c r="A180" s="378" t="s">
        <v>34</v>
      </c>
      <c r="B180" s="372">
        <v>0</v>
      </c>
      <c r="C180" s="376">
        <v>54.222000000000001</v>
      </c>
      <c r="D180" s="376">
        <v>43.456000000000003</v>
      </c>
      <c r="E180" s="376">
        <v>50.185000000000002</v>
      </c>
      <c r="F180" s="376">
        <v>54.063000000000002</v>
      </c>
      <c r="G180" s="376">
        <v>48.363999999999997</v>
      </c>
      <c r="H180" s="376">
        <v>45.752000000000002</v>
      </c>
      <c r="I180" s="376">
        <v>43.14</v>
      </c>
      <c r="J180" s="376">
        <v>40.29</v>
      </c>
      <c r="K180" s="376">
        <v>37.835999999999999</v>
      </c>
      <c r="L180" s="376">
        <v>32.612000000000002</v>
      </c>
      <c r="M180" s="376">
        <v>30.317</v>
      </c>
      <c r="N180" s="376">
        <v>26.359000000000002</v>
      </c>
      <c r="O180" s="376">
        <v>23.509</v>
      </c>
      <c r="P180" s="376">
        <v>19.077000000000002</v>
      </c>
      <c r="Q180" s="376">
        <v>14.565</v>
      </c>
      <c r="R180" s="376">
        <v>10.053000000000001</v>
      </c>
      <c r="S180" s="376">
        <v>4.8280000000000003</v>
      </c>
      <c r="T180" s="376">
        <v>1.504</v>
      </c>
      <c r="U180" s="373">
        <v>0</v>
      </c>
      <c r="V180" s="373">
        <v>0</v>
      </c>
      <c r="W180" s="373">
        <v>0</v>
      </c>
      <c r="X180" s="373">
        <v>0</v>
      </c>
      <c r="Y180" s="382">
        <v>0</v>
      </c>
    </row>
    <row r="181" spans="1:26" ht="13.5" thickBot="1" x14ac:dyDescent="0.25">
      <c r="A181" s="379" t="s">
        <v>117</v>
      </c>
      <c r="B181" s="374">
        <f t="shared" ref="B181:X181" si="62">(C180+B180)*(C179-B179)/2</f>
        <v>0.379554</v>
      </c>
      <c r="C181" s="375">
        <f t="shared" si="62"/>
        <v>2.0512380000000001</v>
      </c>
      <c r="D181" s="375">
        <f t="shared" si="62"/>
        <v>1.685538</v>
      </c>
      <c r="E181" s="375">
        <f t="shared" si="62"/>
        <v>3.5444320000000005</v>
      </c>
      <c r="F181" s="375">
        <f t="shared" si="62"/>
        <v>3.6873720000000003</v>
      </c>
      <c r="G181" s="375">
        <f t="shared" si="62"/>
        <v>6.1645979999999989</v>
      </c>
      <c r="H181" s="375">
        <f t="shared" si="62"/>
        <v>6.0446559999999998</v>
      </c>
      <c r="I181" s="375">
        <f t="shared" si="62"/>
        <v>6.5075400000000014</v>
      </c>
      <c r="J181" s="375">
        <f t="shared" si="62"/>
        <v>7.343843999999998</v>
      </c>
      <c r="K181" s="375">
        <f t="shared" si="62"/>
        <v>13.138552000000001</v>
      </c>
      <c r="L181" s="375">
        <f t="shared" si="62"/>
        <v>4.7826040000000045</v>
      </c>
      <c r="M181" s="375">
        <f t="shared" si="62"/>
        <v>4.8741359999999982</v>
      </c>
      <c r="N181" s="375">
        <f t="shared" si="62"/>
        <v>3.3660900000000002</v>
      </c>
      <c r="O181" s="375">
        <f t="shared" si="62"/>
        <v>3.9604979999999985</v>
      </c>
      <c r="P181" s="375">
        <f t="shared" si="62"/>
        <v>2.5567919999999988</v>
      </c>
      <c r="Q181" s="375">
        <f t="shared" si="62"/>
        <v>1.797113999999999</v>
      </c>
      <c r="R181" s="375">
        <f t="shared" si="62"/>
        <v>1.0639915000000018</v>
      </c>
      <c r="S181" s="375">
        <f t="shared" si="62"/>
        <v>0.50656000000000045</v>
      </c>
      <c r="T181" s="375">
        <f t="shared" si="62"/>
        <v>0.10227199999999975</v>
      </c>
      <c r="U181" s="375">
        <f t="shared" si="62"/>
        <v>0</v>
      </c>
      <c r="V181" s="375">
        <f t="shared" si="62"/>
        <v>0</v>
      </c>
      <c r="W181" s="375">
        <f t="shared" si="62"/>
        <v>0</v>
      </c>
      <c r="X181" s="375">
        <f t="shared" si="62"/>
        <v>0</v>
      </c>
      <c r="Y181" s="369"/>
    </row>
    <row r="182" spans="1:26" ht="13.5" thickBo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6" ht="13.5" thickBot="1" x14ac:dyDescent="0.25">
      <c r="A183" s="361" t="s">
        <v>325</v>
      </c>
      <c r="B183" s="359">
        <f>ROW(A183)</f>
        <v>183</v>
      </c>
      <c r="C183" s="363" t="s">
        <v>116</v>
      </c>
      <c r="D183" s="353">
        <f>SUM(B186:Y186)</f>
        <v>73.169517999999997</v>
      </c>
      <c r="E183" s="363" t="s">
        <v>115</v>
      </c>
      <c r="F183" s="354">
        <f>D183/g/J183</f>
        <v>177.58729673316827</v>
      </c>
      <c r="G183" s="363" t="s">
        <v>57</v>
      </c>
      <c r="H183" s="64">
        <v>9.6000000000000002E-2</v>
      </c>
      <c r="I183" s="363" t="s">
        <v>270</v>
      </c>
      <c r="J183" s="355">
        <f>H183-L183</f>
        <v>4.2000000000000003E-2</v>
      </c>
      <c r="K183" s="363" t="s">
        <v>271</v>
      </c>
      <c r="L183" s="64">
        <v>5.3999999999999999E-2</v>
      </c>
      <c r="M183" s="363" t="s">
        <v>58</v>
      </c>
      <c r="N183" s="396">
        <v>66.5</v>
      </c>
      <c r="O183" s="363" t="s">
        <v>60</v>
      </c>
      <c r="P183" s="396">
        <v>66.5</v>
      </c>
      <c r="Q183" s="363" t="s">
        <v>61</v>
      </c>
      <c r="R183" s="65">
        <v>133</v>
      </c>
      <c r="S183" s="363" t="s">
        <v>62</v>
      </c>
      <c r="T183" s="65">
        <v>24</v>
      </c>
      <c r="U183" s="363" t="s">
        <v>55</v>
      </c>
      <c r="V183" s="66" t="s">
        <v>399</v>
      </c>
      <c r="W183" s="463" t="s">
        <v>394</v>
      </c>
      <c r="X183" s="465">
        <v>0.87</v>
      </c>
      <c r="Y183" s="463" t="s">
        <v>393</v>
      </c>
      <c r="Z183" s="358">
        <v>15</v>
      </c>
    </row>
    <row r="184" spans="1:26" x14ac:dyDescent="0.2">
      <c r="A184" s="362" t="s">
        <v>33</v>
      </c>
      <c r="B184" s="370">
        <v>0</v>
      </c>
      <c r="C184" s="371">
        <v>0.01</v>
      </c>
      <c r="D184" s="371">
        <v>2.3E-2</v>
      </c>
      <c r="E184" s="371">
        <v>0.04</v>
      </c>
      <c r="F184" s="371">
        <v>0.11799999999999999</v>
      </c>
      <c r="G184" s="371">
        <v>0.28299999999999997</v>
      </c>
      <c r="H184" s="371">
        <v>0.51</v>
      </c>
      <c r="I184" s="371">
        <v>0.68799999999999994</v>
      </c>
      <c r="J184" s="371">
        <v>0.78700000000000003</v>
      </c>
      <c r="K184" s="371">
        <v>0.85199999999999998</v>
      </c>
      <c r="L184" s="371">
        <v>0.873</v>
      </c>
      <c r="M184" s="371">
        <v>0.873</v>
      </c>
      <c r="N184" s="371">
        <v>0.873</v>
      </c>
      <c r="O184" s="371">
        <v>0.873</v>
      </c>
      <c r="P184" s="371">
        <v>0.873</v>
      </c>
      <c r="Q184" s="371">
        <v>0.873</v>
      </c>
      <c r="R184" s="371">
        <v>0.873</v>
      </c>
      <c r="S184" s="371">
        <v>0.873</v>
      </c>
      <c r="T184" s="371">
        <v>0.873</v>
      </c>
      <c r="U184" s="371">
        <v>0.873</v>
      </c>
      <c r="V184" s="371">
        <v>0.873</v>
      </c>
      <c r="W184" s="371">
        <v>0.873</v>
      </c>
      <c r="X184" s="371">
        <v>2</v>
      </c>
      <c r="Y184" s="381">
        <v>1000</v>
      </c>
    </row>
    <row r="185" spans="1:26" x14ac:dyDescent="0.2">
      <c r="A185" s="378" t="s">
        <v>34</v>
      </c>
      <c r="B185" s="372">
        <v>0</v>
      </c>
      <c r="C185" s="376">
        <v>76.073999999999998</v>
      </c>
      <c r="D185" s="376">
        <v>100.185</v>
      </c>
      <c r="E185" s="376">
        <v>92.424999999999997</v>
      </c>
      <c r="F185" s="376">
        <v>100.878</v>
      </c>
      <c r="G185" s="376">
        <v>102.402</v>
      </c>
      <c r="H185" s="376">
        <v>96.442999999999998</v>
      </c>
      <c r="I185" s="376">
        <v>87.436000000000007</v>
      </c>
      <c r="J185" s="376">
        <v>25.911999999999999</v>
      </c>
      <c r="K185" s="376">
        <v>7.2060000000000004</v>
      </c>
      <c r="L185" s="373">
        <v>0</v>
      </c>
      <c r="M185" s="373">
        <v>0</v>
      </c>
      <c r="N185" s="373">
        <v>0</v>
      </c>
      <c r="O185" s="373">
        <v>0</v>
      </c>
      <c r="P185" s="373">
        <v>0</v>
      </c>
      <c r="Q185" s="373">
        <v>0</v>
      </c>
      <c r="R185" s="373">
        <v>0</v>
      </c>
      <c r="S185" s="373">
        <v>0</v>
      </c>
      <c r="T185" s="373">
        <v>0</v>
      </c>
      <c r="U185" s="373">
        <v>0</v>
      </c>
      <c r="V185" s="373">
        <v>0</v>
      </c>
      <c r="W185" s="373">
        <v>0</v>
      </c>
      <c r="X185" s="373">
        <v>0</v>
      </c>
      <c r="Y185" s="382">
        <v>0</v>
      </c>
    </row>
    <row r="186" spans="1:26" ht="13.5" thickBot="1" x14ac:dyDescent="0.25">
      <c r="A186" s="379" t="s">
        <v>117</v>
      </c>
      <c r="B186" s="374">
        <f t="shared" ref="B186:X186" si="63">(C185+B185)*(C184-B184)/2</f>
        <v>0.38036999999999999</v>
      </c>
      <c r="C186" s="375">
        <f t="shared" si="63"/>
        <v>1.1456835000000001</v>
      </c>
      <c r="D186" s="375">
        <f t="shared" si="63"/>
        <v>1.6371850000000003</v>
      </c>
      <c r="E186" s="375">
        <f t="shared" si="63"/>
        <v>7.5388169999999981</v>
      </c>
      <c r="F186" s="375">
        <f t="shared" si="63"/>
        <v>16.770599999999998</v>
      </c>
      <c r="G186" s="375">
        <f t="shared" si="63"/>
        <v>22.568907500000002</v>
      </c>
      <c r="H186" s="375">
        <f t="shared" si="63"/>
        <v>16.365230999999994</v>
      </c>
      <c r="I186" s="375">
        <f t="shared" si="63"/>
        <v>5.6107260000000059</v>
      </c>
      <c r="J186" s="375">
        <f t="shared" si="63"/>
        <v>1.0763349999999992</v>
      </c>
      <c r="K186" s="375">
        <f t="shared" si="63"/>
        <v>7.5663000000000077E-2</v>
      </c>
      <c r="L186" s="375">
        <f t="shared" si="63"/>
        <v>0</v>
      </c>
      <c r="M186" s="375">
        <f t="shared" si="63"/>
        <v>0</v>
      </c>
      <c r="N186" s="375">
        <f t="shared" si="63"/>
        <v>0</v>
      </c>
      <c r="O186" s="375">
        <f t="shared" si="63"/>
        <v>0</v>
      </c>
      <c r="P186" s="375">
        <f t="shared" si="63"/>
        <v>0</v>
      </c>
      <c r="Q186" s="375">
        <f t="shared" si="63"/>
        <v>0</v>
      </c>
      <c r="R186" s="375">
        <f t="shared" si="63"/>
        <v>0</v>
      </c>
      <c r="S186" s="375">
        <f t="shared" si="63"/>
        <v>0</v>
      </c>
      <c r="T186" s="375">
        <f t="shared" si="63"/>
        <v>0</v>
      </c>
      <c r="U186" s="375">
        <f t="shared" si="63"/>
        <v>0</v>
      </c>
      <c r="V186" s="375">
        <f t="shared" si="63"/>
        <v>0</v>
      </c>
      <c r="W186" s="375">
        <f t="shared" si="63"/>
        <v>0</v>
      </c>
      <c r="X186" s="375">
        <f t="shared" si="63"/>
        <v>0</v>
      </c>
      <c r="Y186" s="369"/>
    </row>
    <row r="187" spans="1:26" ht="13.5" thickBot="1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6" ht="13.5" thickBot="1" x14ac:dyDescent="0.25">
      <c r="A188" s="361" t="s">
        <v>326</v>
      </c>
      <c r="B188" s="359">
        <f>ROW(A188)</f>
        <v>188</v>
      </c>
      <c r="C188" s="363" t="s">
        <v>116</v>
      </c>
      <c r="D188" s="353">
        <f>SUM(B191:Y191)</f>
        <v>75.254384000000016</v>
      </c>
      <c r="E188" s="363" t="s">
        <v>115</v>
      </c>
      <c r="F188" s="354">
        <f>D188/g/J188</f>
        <v>232.46033422914161</v>
      </c>
      <c r="G188" s="363" t="s">
        <v>57</v>
      </c>
      <c r="H188" s="64">
        <v>9.5000000000000001E-2</v>
      </c>
      <c r="I188" s="363" t="s">
        <v>270</v>
      </c>
      <c r="J188" s="355">
        <f>H188-L188</f>
        <v>3.3000000000000002E-2</v>
      </c>
      <c r="K188" s="363" t="s">
        <v>271</v>
      </c>
      <c r="L188" s="64">
        <f>0.095-0.033</f>
        <v>6.2E-2</v>
      </c>
      <c r="M188" s="363" t="s">
        <v>58</v>
      </c>
      <c r="N188" s="396">
        <v>66.5</v>
      </c>
      <c r="O188" s="363" t="s">
        <v>60</v>
      </c>
      <c r="P188" s="396">
        <v>66.5</v>
      </c>
      <c r="Q188" s="363" t="s">
        <v>61</v>
      </c>
      <c r="R188" s="65">
        <v>133</v>
      </c>
      <c r="S188" s="363" t="s">
        <v>62</v>
      </c>
      <c r="T188" s="65">
        <v>24</v>
      </c>
      <c r="U188" s="363" t="s">
        <v>55</v>
      </c>
      <c r="V188" s="66" t="s">
        <v>399</v>
      </c>
      <c r="W188" s="463" t="s">
        <v>394</v>
      </c>
      <c r="X188" s="465">
        <v>1.5</v>
      </c>
      <c r="Y188" s="463" t="s">
        <v>393</v>
      </c>
      <c r="Z188" s="358">
        <v>12</v>
      </c>
    </row>
    <row r="189" spans="1:26" x14ac:dyDescent="0.2">
      <c r="A189" s="362" t="s">
        <v>33</v>
      </c>
      <c r="B189" s="370">
        <v>0</v>
      </c>
      <c r="C189" s="371">
        <v>0.02</v>
      </c>
      <c r="D189" s="371">
        <v>3.1E-2</v>
      </c>
      <c r="E189" s="371">
        <v>6.2E-2</v>
      </c>
      <c r="F189" s="371">
        <v>0.11700000000000001</v>
      </c>
      <c r="G189" s="371">
        <v>1.2110000000000001</v>
      </c>
      <c r="H189" s="371">
        <v>1.3759999999999999</v>
      </c>
      <c r="I189" s="371">
        <v>1.456</v>
      </c>
      <c r="J189" s="371">
        <v>1.532</v>
      </c>
      <c r="K189" s="371">
        <v>1.577</v>
      </c>
      <c r="L189" s="371">
        <v>2</v>
      </c>
      <c r="M189" s="371">
        <v>2</v>
      </c>
      <c r="N189" s="371">
        <v>2</v>
      </c>
      <c r="O189" s="371">
        <v>2</v>
      </c>
      <c r="P189" s="371">
        <v>2</v>
      </c>
      <c r="Q189" s="371">
        <v>2</v>
      </c>
      <c r="R189" s="371">
        <v>2</v>
      </c>
      <c r="S189" s="371">
        <v>2</v>
      </c>
      <c r="T189" s="371">
        <v>2</v>
      </c>
      <c r="U189" s="371">
        <v>2</v>
      </c>
      <c r="V189" s="371">
        <v>2</v>
      </c>
      <c r="W189" s="371">
        <v>2</v>
      </c>
      <c r="X189" s="371">
        <f t="shared" ref="T189:X190" si="64">W189</f>
        <v>2</v>
      </c>
      <c r="Y189" s="381">
        <v>1000</v>
      </c>
    </row>
    <row r="190" spans="1:26" x14ac:dyDescent="0.2">
      <c r="A190" s="378" t="s">
        <v>34</v>
      </c>
      <c r="B190" s="372">
        <v>0</v>
      </c>
      <c r="C190" s="373">
        <v>75.924000000000007</v>
      </c>
      <c r="D190" s="373">
        <v>84.147999999999996</v>
      </c>
      <c r="E190" s="373">
        <v>70.441000000000003</v>
      </c>
      <c r="F190" s="373">
        <v>73.659000000000006</v>
      </c>
      <c r="G190" s="373">
        <v>38.737000000000002</v>
      </c>
      <c r="H190" s="373">
        <v>14.779</v>
      </c>
      <c r="I190" s="373">
        <v>7.2709999999999999</v>
      </c>
      <c r="J190" s="373">
        <v>3.3370000000000002</v>
      </c>
      <c r="K190" s="373">
        <v>0</v>
      </c>
      <c r="L190" s="373">
        <v>0</v>
      </c>
      <c r="M190" s="373">
        <v>0</v>
      </c>
      <c r="N190" s="373">
        <v>0</v>
      </c>
      <c r="O190" s="373">
        <v>0</v>
      </c>
      <c r="P190" s="373">
        <v>0</v>
      </c>
      <c r="Q190" s="373">
        <v>0</v>
      </c>
      <c r="R190" s="373">
        <v>0</v>
      </c>
      <c r="S190" s="373">
        <v>0</v>
      </c>
      <c r="T190" s="373">
        <f t="shared" si="64"/>
        <v>0</v>
      </c>
      <c r="U190" s="373">
        <f t="shared" si="64"/>
        <v>0</v>
      </c>
      <c r="V190" s="373">
        <f t="shared" si="64"/>
        <v>0</v>
      </c>
      <c r="W190" s="373">
        <f t="shared" si="64"/>
        <v>0</v>
      </c>
      <c r="X190" s="373">
        <f t="shared" si="64"/>
        <v>0</v>
      </c>
      <c r="Y190" s="382">
        <v>0</v>
      </c>
    </row>
    <row r="191" spans="1:26" ht="13.5" thickBot="1" x14ac:dyDescent="0.25">
      <c r="A191" s="379" t="s">
        <v>117</v>
      </c>
      <c r="B191" s="374">
        <f t="shared" ref="B191:V191" si="65">(C190+B190)*(C189-B189)/2</f>
        <v>0.75924000000000014</v>
      </c>
      <c r="C191" s="375">
        <f t="shared" si="65"/>
        <v>0.88039599999999996</v>
      </c>
      <c r="D191" s="375">
        <f t="shared" si="65"/>
        <v>2.3961294999999998</v>
      </c>
      <c r="E191" s="375">
        <f t="shared" si="65"/>
        <v>3.9627500000000011</v>
      </c>
      <c r="F191" s="375">
        <f t="shared" si="65"/>
        <v>61.480612000000015</v>
      </c>
      <c r="G191" s="375">
        <f t="shared" si="65"/>
        <v>4.4150699999999956</v>
      </c>
      <c r="H191" s="375">
        <f t="shared" si="65"/>
        <v>0.88200000000000078</v>
      </c>
      <c r="I191" s="375">
        <f t="shared" si="65"/>
        <v>0.40310400000000035</v>
      </c>
      <c r="J191" s="375">
        <f>(K190+J190)*(K189-J189)/2</f>
        <v>7.5082499999999885E-2</v>
      </c>
      <c r="K191" s="375">
        <f t="shared" si="65"/>
        <v>0</v>
      </c>
      <c r="L191" s="375">
        <f t="shared" si="65"/>
        <v>0</v>
      </c>
      <c r="M191" s="375">
        <f t="shared" si="65"/>
        <v>0</v>
      </c>
      <c r="N191" s="375">
        <f t="shared" si="65"/>
        <v>0</v>
      </c>
      <c r="O191" s="375">
        <f t="shared" si="65"/>
        <v>0</v>
      </c>
      <c r="P191" s="375">
        <f t="shared" si="65"/>
        <v>0</v>
      </c>
      <c r="Q191" s="375">
        <f t="shared" si="65"/>
        <v>0</v>
      </c>
      <c r="R191" s="375">
        <f t="shared" si="65"/>
        <v>0</v>
      </c>
      <c r="S191" s="375">
        <f>(T190+S190)*(T189-S189)/2</f>
        <v>0</v>
      </c>
      <c r="T191" s="375">
        <f t="shared" si="65"/>
        <v>0</v>
      </c>
      <c r="U191" s="375">
        <f t="shared" si="65"/>
        <v>0</v>
      </c>
      <c r="V191" s="375">
        <f t="shared" si="65"/>
        <v>0</v>
      </c>
      <c r="W191" s="375">
        <f>(X190+W190)*(X189-W189)/2</f>
        <v>0</v>
      </c>
      <c r="X191" s="375">
        <f>(Y190+X190)*(Y189-X189)/2</f>
        <v>0</v>
      </c>
      <c r="Y191" s="369"/>
    </row>
    <row r="192" spans="1:26" ht="13.5" thickBot="1" x14ac:dyDescent="0.25">
      <c r="A192" s="6" t="s">
        <v>373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6" ht="13.5" thickBot="1" x14ac:dyDescent="0.25">
      <c r="A193" s="361" t="s">
        <v>536</v>
      </c>
      <c r="B193" s="359">
        <f>ROW(A193)</f>
        <v>193</v>
      </c>
      <c r="C193" s="363" t="s">
        <v>116</v>
      </c>
      <c r="D193" s="353">
        <f>SUM(B196:Y196)</f>
        <v>141.04999999999998</v>
      </c>
      <c r="E193" s="363" t="s">
        <v>115</v>
      </c>
      <c r="F193" s="354">
        <f>D193/g/J193</f>
        <v>186.24592648930721</v>
      </c>
      <c r="G193" s="363" t="s">
        <v>57</v>
      </c>
      <c r="H193" s="64">
        <v>0.16189999999999999</v>
      </c>
      <c r="I193" s="363" t="s">
        <v>270</v>
      </c>
      <c r="J193" s="355">
        <f>H193-L193</f>
        <v>7.7199999999999991E-2</v>
      </c>
      <c r="K193" s="363" t="s">
        <v>271</v>
      </c>
      <c r="L193" s="64">
        <v>8.4699999999999998E-2</v>
      </c>
      <c r="M193" s="363" t="s">
        <v>58</v>
      </c>
      <c r="N193" s="65">
        <v>114</v>
      </c>
      <c r="O193" s="363" t="s">
        <v>60</v>
      </c>
      <c r="P193" s="65">
        <v>114</v>
      </c>
      <c r="Q193" s="363" t="s">
        <v>61</v>
      </c>
      <c r="R193" s="65">
        <v>228</v>
      </c>
      <c r="S193" s="363" t="s">
        <v>62</v>
      </c>
      <c r="T193" s="65">
        <v>24</v>
      </c>
      <c r="U193" s="363" t="s">
        <v>55</v>
      </c>
      <c r="V193" s="66" t="s">
        <v>120</v>
      </c>
      <c r="W193" s="463" t="s">
        <v>394</v>
      </c>
      <c r="X193" s="465">
        <v>0.96</v>
      </c>
      <c r="Y193" s="463" t="s">
        <v>393</v>
      </c>
      <c r="Z193" s="358">
        <v>15</v>
      </c>
    </row>
    <row r="194" spans="1:26" x14ac:dyDescent="0.2">
      <c r="A194" s="362" t="s">
        <v>33</v>
      </c>
      <c r="B194" s="370">
        <v>0</v>
      </c>
      <c r="C194" s="371">
        <v>0.02</v>
      </c>
      <c r="D194" s="371">
        <v>0.03</v>
      </c>
      <c r="E194" s="371">
        <v>0.05</v>
      </c>
      <c r="F194" s="371">
        <v>0.6</v>
      </c>
      <c r="G194" s="371">
        <v>0.67</v>
      </c>
      <c r="H194" s="371">
        <v>0.7</v>
      </c>
      <c r="I194" s="371">
        <v>0.8</v>
      </c>
      <c r="J194" s="371">
        <v>0.9</v>
      </c>
      <c r="K194" s="371">
        <v>1.05</v>
      </c>
      <c r="L194" s="371">
        <f t="shared" ref="L194:W194" si="66">K194</f>
        <v>1.05</v>
      </c>
      <c r="M194" s="371">
        <f t="shared" si="66"/>
        <v>1.05</v>
      </c>
      <c r="N194" s="371">
        <f t="shared" si="66"/>
        <v>1.05</v>
      </c>
      <c r="O194" s="371">
        <f t="shared" si="66"/>
        <v>1.05</v>
      </c>
      <c r="P194" s="371">
        <f t="shared" si="66"/>
        <v>1.05</v>
      </c>
      <c r="Q194" s="371">
        <f t="shared" si="66"/>
        <v>1.05</v>
      </c>
      <c r="R194" s="371">
        <f t="shared" si="66"/>
        <v>1.05</v>
      </c>
      <c r="S194" s="371">
        <f t="shared" si="66"/>
        <v>1.05</v>
      </c>
      <c r="T194" s="371">
        <f t="shared" si="66"/>
        <v>1.05</v>
      </c>
      <c r="U194" s="371">
        <f t="shared" si="66"/>
        <v>1.05</v>
      </c>
      <c r="V194" s="371">
        <f t="shared" si="66"/>
        <v>1.05</v>
      </c>
      <c r="W194" s="371">
        <f t="shared" si="66"/>
        <v>1.05</v>
      </c>
      <c r="X194" s="371">
        <v>2</v>
      </c>
      <c r="Y194" s="381">
        <v>1000</v>
      </c>
    </row>
    <row r="195" spans="1:26" x14ac:dyDescent="0.2">
      <c r="A195" s="378" t="s">
        <v>34</v>
      </c>
      <c r="B195" s="372">
        <v>0</v>
      </c>
      <c r="C195" s="373">
        <v>350</v>
      </c>
      <c r="D195" s="373">
        <v>250</v>
      </c>
      <c r="E195" s="373">
        <v>210</v>
      </c>
      <c r="F195" s="373">
        <v>150</v>
      </c>
      <c r="G195" s="373">
        <v>140</v>
      </c>
      <c r="H195" s="373">
        <v>130</v>
      </c>
      <c r="I195" s="373">
        <v>65</v>
      </c>
      <c r="J195" s="373">
        <v>30</v>
      </c>
      <c r="K195" s="373">
        <v>0</v>
      </c>
      <c r="L195" s="373">
        <v>0</v>
      </c>
      <c r="M195" s="373">
        <v>0</v>
      </c>
      <c r="N195" s="373">
        <v>0</v>
      </c>
      <c r="O195" s="373">
        <v>0</v>
      </c>
      <c r="P195" s="373">
        <v>0</v>
      </c>
      <c r="Q195" s="373">
        <v>0</v>
      </c>
      <c r="R195" s="373">
        <v>0</v>
      </c>
      <c r="S195" s="373">
        <f t="shared" ref="S195:X195" si="67">R195</f>
        <v>0</v>
      </c>
      <c r="T195" s="373">
        <f t="shared" si="67"/>
        <v>0</v>
      </c>
      <c r="U195" s="373">
        <f t="shared" si="67"/>
        <v>0</v>
      </c>
      <c r="V195" s="373">
        <f t="shared" si="67"/>
        <v>0</v>
      </c>
      <c r="W195" s="373">
        <f t="shared" si="67"/>
        <v>0</v>
      </c>
      <c r="X195" s="373">
        <f t="shared" si="67"/>
        <v>0</v>
      </c>
      <c r="Y195" s="382">
        <v>0</v>
      </c>
    </row>
    <row r="196" spans="1:26" ht="13.5" thickBot="1" x14ac:dyDescent="0.25">
      <c r="A196" s="379" t="s">
        <v>117</v>
      </c>
      <c r="B196" s="374">
        <f t="shared" ref="B196:X196" si="68">(C195+B195)*(C194-B194)/2</f>
        <v>3.5</v>
      </c>
      <c r="C196" s="375">
        <f t="shared" si="68"/>
        <v>2.9999999999999996</v>
      </c>
      <c r="D196" s="375">
        <f t="shared" si="68"/>
        <v>4.6000000000000005</v>
      </c>
      <c r="E196" s="375">
        <f t="shared" si="68"/>
        <v>98.999999999999986</v>
      </c>
      <c r="F196" s="375">
        <f t="shared" si="68"/>
        <v>10.150000000000009</v>
      </c>
      <c r="G196" s="375">
        <f t="shared" si="68"/>
        <v>4.0499999999999883</v>
      </c>
      <c r="H196" s="375">
        <f t="shared" si="68"/>
        <v>9.7500000000000089</v>
      </c>
      <c r="I196" s="375">
        <f t="shared" si="68"/>
        <v>4.7499999999999991</v>
      </c>
      <c r="J196" s="375">
        <f t="shared" si="68"/>
        <v>2.2500000000000004</v>
      </c>
      <c r="K196" s="375">
        <f t="shared" si="68"/>
        <v>0</v>
      </c>
      <c r="L196" s="375">
        <f t="shared" si="68"/>
        <v>0</v>
      </c>
      <c r="M196" s="375">
        <f t="shared" si="68"/>
        <v>0</v>
      </c>
      <c r="N196" s="375">
        <f t="shared" si="68"/>
        <v>0</v>
      </c>
      <c r="O196" s="375">
        <f t="shared" si="68"/>
        <v>0</v>
      </c>
      <c r="P196" s="375">
        <f t="shared" si="68"/>
        <v>0</v>
      </c>
      <c r="Q196" s="375">
        <f t="shared" si="68"/>
        <v>0</v>
      </c>
      <c r="R196" s="375">
        <f t="shared" si="68"/>
        <v>0</v>
      </c>
      <c r="S196" s="375">
        <f t="shared" si="68"/>
        <v>0</v>
      </c>
      <c r="T196" s="375">
        <f t="shared" si="68"/>
        <v>0</v>
      </c>
      <c r="U196" s="375">
        <f t="shared" si="68"/>
        <v>0</v>
      </c>
      <c r="V196" s="375">
        <f t="shared" si="68"/>
        <v>0</v>
      </c>
      <c r="W196" s="375">
        <f t="shared" si="68"/>
        <v>0</v>
      </c>
      <c r="X196" s="375">
        <f t="shared" si="68"/>
        <v>0</v>
      </c>
      <c r="Y196" s="369"/>
    </row>
    <row r="197" spans="1:26" ht="13.5" thickBot="1" x14ac:dyDescent="0.25">
      <c r="A197" s="12" t="s">
        <v>546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6" ht="13.5" thickBot="1" x14ac:dyDescent="0.25">
      <c r="A198" s="361" t="s">
        <v>549</v>
      </c>
      <c r="B198" s="359">
        <f>ROW(A198)</f>
        <v>198</v>
      </c>
      <c r="C198" s="363" t="s">
        <v>116</v>
      </c>
      <c r="D198" s="353">
        <f>SUM(B201:Y201)</f>
        <v>142.44</v>
      </c>
      <c r="E198" s="363" t="s">
        <v>115</v>
      </c>
      <c r="F198" s="354">
        <f>D198/g/J198</f>
        <v>192.06187401906058</v>
      </c>
      <c r="G198" s="363" t="s">
        <v>57</v>
      </c>
      <c r="H198" s="64">
        <v>0.15989999999999999</v>
      </c>
      <c r="I198" s="363" t="s">
        <v>270</v>
      </c>
      <c r="J198" s="355">
        <f>H198-L198</f>
        <v>7.5599999999999987E-2</v>
      </c>
      <c r="K198" s="363" t="s">
        <v>271</v>
      </c>
      <c r="L198" s="64">
        <v>8.43E-2</v>
      </c>
      <c r="M198" s="363" t="s">
        <v>58</v>
      </c>
      <c r="N198" s="65">
        <v>114</v>
      </c>
      <c r="O198" s="363" t="s">
        <v>60</v>
      </c>
      <c r="P198" s="65">
        <v>114</v>
      </c>
      <c r="Q198" s="363" t="s">
        <v>61</v>
      </c>
      <c r="R198" s="65">
        <v>228</v>
      </c>
      <c r="S198" s="363" t="s">
        <v>62</v>
      </c>
      <c r="T198" s="65">
        <v>24</v>
      </c>
      <c r="U198" s="363" t="s">
        <v>55</v>
      </c>
      <c r="V198" s="66" t="s">
        <v>401</v>
      </c>
      <c r="W198" s="463" t="s">
        <v>394</v>
      </c>
      <c r="X198" s="465">
        <v>0.97</v>
      </c>
      <c r="Y198" s="463" t="s">
        <v>393</v>
      </c>
      <c r="Z198" s="358"/>
    </row>
    <row r="199" spans="1:26" x14ac:dyDescent="0.2">
      <c r="A199" s="362" t="s">
        <v>33</v>
      </c>
      <c r="B199" s="370">
        <v>0</v>
      </c>
      <c r="C199" s="371">
        <v>0.02</v>
      </c>
      <c r="D199" s="371">
        <v>0.04</v>
      </c>
      <c r="E199" s="371">
        <v>0.62</v>
      </c>
      <c r="F199" s="371">
        <v>0.66</v>
      </c>
      <c r="G199" s="371">
        <v>0.68</v>
      </c>
      <c r="H199" s="371">
        <v>0.8</v>
      </c>
      <c r="I199" s="371">
        <v>0.84</v>
      </c>
      <c r="J199" s="371">
        <v>0.88</v>
      </c>
      <c r="K199" s="371">
        <v>0.92</v>
      </c>
      <c r="L199" s="371">
        <v>0.96</v>
      </c>
      <c r="M199" s="371">
        <v>1</v>
      </c>
      <c r="N199" s="371">
        <v>1.08</v>
      </c>
      <c r="O199" s="371">
        <v>2</v>
      </c>
      <c r="P199" s="371">
        <v>2</v>
      </c>
      <c r="Q199" s="371">
        <v>2</v>
      </c>
      <c r="R199" s="371">
        <v>2</v>
      </c>
      <c r="S199" s="371">
        <f t="shared" ref="S199:X200" si="69">R199</f>
        <v>2</v>
      </c>
      <c r="T199" s="371">
        <f t="shared" si="69"/>
        <v>2</v>
      </c>
      <c r="U199" s="371">
        <f t="shared" si="69"/>
        <v>2</v>
      </c>
      <c r="V199" s="371">
        <f t="shared" si="69"/>
        <v>2</v>
      </c>
      <c r="W199" s="371">
        <f t="shared" si="69"/>
        <v>2</v>
      </c>
      <c r="X199" s="371">
        <f t="shared" si="69"/>
        <v>2</v>
      </c>
      <c r="Y199" s="381">
        <v>1000</v>
      </c>
    </row>
    <row r="200" spans="1:26" x14ac:dyDescent="0.2">
      <c r="A200" s="378" t="s">
        <v>34</v>
      </c>
      <c r="B200" s="372">
        <v>0</v>
      </c>
      <c r="C200" s="373">
        <v>250</v>
      </c>
      <c r="D200" s="373">
        <v>210</v>
      </c>
      <c r="E200" s="373">
        <v>160</v>
      </c>
      <c r="F200" s="373">
        <v>150</v>
      </c>
      <c r="G200" s="373">
        <v>142</v>
      </c>
      <c r="H200" s="373">
        <v>62</v>
      </c>
      <c r="I200" s="373">
        <v>48</v>
      </c>
      <c r="J200" s="373">
        <v>34</v>
      </c>
      <c r="K200" s="373">
        <v>24</v>
      </c>
      <c r="L200" s="373">
        <v>15</v>
      </c>
      <c r="M200" s="373">
        <v>10</v>
      </c>
      <c r="N200" s="373">
        <v>0</v>
      </c>
      <c r="O200" s="373">
        <v>0</v>
      </c>
      <c r="P200" s="373">
        <v>0</v>
      </c>
      <c r="Q200" s="373">
        <v>0</v>
      </c>
      <c r="R200" s="373">
        <v>0</v>
      </c>
      <c r="S200" s="373">
        <f t="shared" si="69"/>
        <v>0</v>
      </c>
      <c r="T200" s="373">
        <f t="shared" si="69"/>
        <v>0</v>
      </c>
      <c r="U200" s="373">
        <f t="shared" si="69"/>
        <v>0</v>
      </c>
      <c r="V200" s="373">
        <f t="shared" si="69"/>
        <v>0</v>
      </c>
      <c r="W200" s="373">
        <f t="shared" si="69"/>
        <v>0</v>
      </c>
      <c r="X200" s="373">
        <f t="shared" si="69"/>
        <v>0</v>
      </c>
      <c r="Y200" s="382">
        <v>0</v>
      </c>
    </row>
    <row r="201" spans="1:26" ht="13.5" thickBot="1" x14ac:dyDescent="0.25">
      <c r="A201" s="379" t="s">
        <v>117</v>
      </c>
      <c r="B201" s="374">
        <f t="shared" ref="B201:X201" si="70">(C200+B200)*(C199-B199)/2</f>
        <v>2.5</v>
      </c>
      <c r="C201" s="375">
        <f t="shared" si="70"/>
        <v>4.6000000000000005</v>
      </c>
      <c r="D201" s="375">
        <f t="shared" si="70"/>
        <v>107.3</v>
      </c>
      <c r="E201" s="375">
        <f t="shared" si="70"/>
        <v>6.2000000000000055</v>
      </c>
      <c r="F201" s="375">
        <f t="shared" si="70"/>
        <v>2.9200000000000026</v>
      </c>
      <c r="G201" s="375">
        <f t="shared" si="70"/>
        <v>12.24</v>
      </c>
      <c r="H201" s="375">
        <f t="shared" si="70"/>
        <v>2.1999999999999957</v>
      </c>
      <c r="I201" s="375">
        <f t="shared" si="70"/>
        <v>1.6400000000000015</v>
      </c>
      <c r="J201" s="375">
        <f t="shared" si="70"/>
        <v>1.160000000000001</v>
      </c>
      <c r="K201" s="375">
        <f t="shared" si="70"/>
        <v>0.77999999999999847</v>
      </c>
      <c r="L201" s="375">
        <f t="shared" si="70"/>
        <v>0.50000000000000044</v>
      </c>
      <c r="M201" s="375">
        <f t="shared" si="70"/>
        <v>0.40000000000000036</v>
      </c>
      <c r="N201" s="375">
        <f t="shared" si="70"/>
        <v>0</v>
      </c>
      <c r="O201" s="375">
        <f t="shared" si="70"/>
        <v>0</v>
      </c>
      <c r="P201" s="375">
        <f t="shared" si="70"/>
        <v>0</v>
      </c>
      <c r="Q201" s="375">
        <f t="shared" si="70"/>
        <v>0</v>
      </c>
      <c r="R201" s="375">
        <f t="shared" si="70"/>
        <v>0</v>
      </c>
      <c r="S201" s="375">
        <f t="shared" si="70"/>
        <v>0</v>
      </c>
      <c r="T201" s="375">
        <f t="shared" si="70"/>
        <v>0</v>
      </c>
      <c r="U201" s="375">
        <f t="shared" si="70"/>
        <v>0</v>
      </c>
      <c r="V201" s="375">
        <f t="shared" si="70"/>
        <v>0</v>
      </c>
      <c r="W201" s="375">
        <f t="shared" si="70"/>
        <v>0</v>
      </c>
      <c r="X201" s="375">
        <f t="shared" si="70"/>
        <v>0</v>
      </c>
      <c r="Y201" s="369"/>
    </row>
    <row r="202" spans="1:26" ht="13.5" thickBo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6" ht="13.5" thickBot="1" x14ac:dyDescent="0.25">
      <c r="A203" s="361" t="s">
        <v>538</v>
      </c>
      <c r="B203" s="359">
        <f>ROW(A203)</f>
        <v>203</v>
      </c>
      <c r="C203" s="363" t="s">
        <v>116</v>
      </c>
      <c r="D203" s="353">
        <f>SUM(B206:Y206)</f>
        <v>143.08845000000002</v>
      </c>
      <c r="E203" s="363" t="s">
        <v>115</v>
      </c>
      <c r="F203" s="354">
        <f>D203/g/J203</f>
        <v>168.23504721190514</v>
      </c>
      <c r="G203" s="363" t="s">
        <v>57</v>
      </c>
      <c r="H203" s="64">
        <v>0.17249999999999999</v>
      </c>
      <c r="I203" s="363" t="s">
        <v>270</v>
      </c>
      <c r="J203" s="355">
        <f>H203-L203</f>
        <v>8.6699999999999985E-2</v>
      </c>
      <c r="K203" s="363" t="s">
        <v>271</v>
      </c>
      <c r="L203" s="64">
        <v>8.5800000000000001E-2</v>
      </c>
      <c r="M203" s="363" t="s">
        <v>58</v>
      </c>
      <c r="N203" s="65">
        <v>114</v>
      </c>
      <c r="O203" s="363" t="s">
        <v>60</v>
      </c>
      <c r="P203" s="65">
        <v>114</v>
      </c>
      <c r="Q203" s="363" t="s">
        <v>61</v>
      </c>
      <c r="R203" s="65">
        <v>228</v>
      </c>
      <c r="S203" s="363" t="s">
        <v>62</v>
      </c>
      <c r="T203" s="65">
        <v>24</v>
      </c>
      <c r="U203" s="363" t="s">
        <v>55</v>
      </c>
      <c r="V203" s="66" t="s">
        <v>120</v>
      </c>
      <c r="W203" s="463" t="s">
        <v>394</v>
      </c>
      <c r="X203" s="465">
        <v>0.97</v>
      </c>
      <c r="Y203" s="463" t="s">
        <v>393</v>
      </c>
      <c r="Z203" s="358">
        <v>11</v>
      </c>
    </row>
    <row r="204" spans="1:26" x14ac:dyDescent="0.2">
      <c r="A204" s="362" t="s">
        <v>33</v>
      </c>
      <c r="B204" s="370">
        <v>0</v>
      </c>
      <c r="C204" s="371">
        <v>8.0000000000000002E-3</v>
      </c>
      <c r="D204" s="371">
        <v>1.2999999999999999E-2</v>
      </c>
      <c r="E204" s="371">
        <v>2.1999999999999999E-2</v>
      </c>
      <c r="F204" s="371">
        <v>3.5000000000000003E-2</v>
      </c>
      <c r="G204" s="371">
        <v>6.3E-2</v>
      </c>
      <c r="H204" s="371">
        <v>0.10299999999999999</v>
      </c>
      <c r="I204" s="371">
        <v>0.19600000000000001</v>
      </c>
      <c r="J204" s="371">
        <v>0.311</v>
      </c>
      <c r="K204" s="371">
        <v>0.47399999999999998</v>
      </c>
      <c r="L204" s="371">
        <v>0.56399999999999995</v>
      </c>
      <c r="M204" s="371">
        <v>0.76200000000000001</v>
      </c>
      <c r="N204" s="371">
        <v>0.85799999999999998</v>
      </c>
      <c r="O204" s="371">
        <v>0.92800000000000005</v>
      </c>
      <c r="P204" s="371">
        <v>1.038</v>
      </c>
      <c r="Q204" s="371">
        <v>1.08</v>
      </c>
      <c r="R204" s="371">
        <v>1.131</v>
      </c>
      <c r="S204" s="371">
        <v>1.1850000000000001</v>
      </c>
      <c r="T204" s="371">
        <v>1.224</v>
      </c>
      <c r="U204" s="371">
        <v>1.258</v>
      </c>
      <c r="V204" s="371">
        <v>1.4</v>
      </c>
      <c r="W204" s="371">
        <v>1.4410000000000001</v>
      </c>
      <c r="X204" s="371">
        <v>2</v>
      </c>
      <c r="Y204" s="381">
        <v>1000</v>
      </c>
    </row>
    <row r="205" spans="1:26" x14ac:dyDescent="0.2">
      <c r="A205" s="378" t="s">
        <v>34</v>
      </c>
      <c r="B205" s="372">
        <v>0</v>
      </c>
      <c r="C205" s="373">
        <v>168.643</v>
      </c>
      <c r="D205" s="373">
        <v>177.339</v>
      </c>
      <c r="E205" s="373">
        <v>177.86600000000001</v>
      </c>
      <c r="F205" s="373">
        <v>171.27799999999999</v>
      </c>
      <c r="G205" s="373">
        <v>157.839</v>
      </c>
      <c r="H205" s="373">
        <v>154.941</v>
      </c>
      <c r="I205" s="373">
        <v>148.88</v>
      </c>
      <c r="J205" s="373">
        <v>144.137</v>
      </c>
      <c r="K205" s="373">
        <v>138.07599999999999</v>
      </c>
      <c r="L205" s="373">
        <v>135.70500000000001</v>
      </c>
      <c r="M205" s="373">
        <v>125.955</v>
      </c>
      <c r="N205" s="373">
        <v>116.733</v>
      </c>
      <c r="O205" s="373">
        <v>101.71299999999999</v>
      </c>
      <c r="P205" s="373">
        <v>57.444000000000003</v>
      </c>
      <c r="Q205" s="373">
        <v>42.688000000000002</v>
      </c>
      <c r="R205" s="373">
        <v>31.884</v>
      </c>
      <c r="S205" s="373">
        <v>17.655000000000001</v>
      </c>
      <c r="T205" s="373">
        <v>9.4860000000000007</v>
      </c>
      <c r="U205" s="373">
        <v>5.27</v>
      </c>
      <c r="V205" s="373">
        <v>0.79100000000000004</v>
      </c>
      <c r="W205" s="373">
        <v>0</v>
      </c>
      <c r="X205" s="373">
        <f>W205</f>
        <v>0</v>
      </c>
      <c r="Y205" s="382">
        <v>0</v>
      </c>
    </row>
    <row r="206" spans="1:26" ht="13.5" thickBot="1" x14ac:dyDescent="0.25">
      <c r="A206" s="379" t="s">
        <v>117</v>
      </c>
      <c r="B206" s="374">
        <f t="shared" ref="B206:X206" si="71">(C205+B205)*(C204-B204)/2</f>
        <v>0.67457200000000006</v>
      </c>
      <c r="C206" s="375">
        <f t="shared" si="71"/>
        <v>0.86495499999999981</v>
      </c>
      <c r="D206" s="375">
        <f t="shared" si="71"/>
        <v>1.5984225000000001</v>
      </c>
      <c r="E206" s="375">
        <f t="shared" si="71"/>
        <v>2.2694360000000007</v>
      </c>
      <c r="F206" s="375">
        <f t="shared" si="71"/>
        <v>4.6076379999999988</v>
      </c>
      <c r="G206" s="375">
        <f t="shared" si="71"/>
        <v>6.2555999999999985</v>
      </c>
      <c r="H206" s="375">
        <f t="shared" si="71"/>
        <v>14.127676500000003</v>
      </c>
      <c r="I206" s="375">
        <f t="shared" si="71"/>
        <v>16.848477499999998</v>
      </c>
      <c r="J206" s="375">
        <f t="shared" si="71"/>
        <v>23.000359499999995</v>
      </c>
      <c r="K206" s="375">
        <f t="shared" si="71"/>
        <v>12.320144999999997</v>
      </c>
      <c r="L206" s="375">
        <f t="shared" si="71"/>
        <v>25.904340000000012</v>
      </c>
      <c r="M206" s="375">
        <f t="shared" si="71"/>
        <v>11.649023999999997</v>
      </c>
      <c r="N206" s="375">
        <f t="shared" si="71"/>
        <v>7.6456100000000067</v>
      </c>
      <c r="O206" s="375">
        <f t="shared" si="71"/>
        <v>8.7536349999999974</v>
      </c>
      <c r="P206" s="375">
        <f t="shared" si="71"/>
        <v>2.1027720000000021</v>
      </c>
      <c r="Q206" s="375">
        <f t="shared" si="71"/>
        <v>1.9015859999999976</v>
      </c>
      <c r="R206" s="375">
        <f t="shared" si="71"/>
        <v>1.3375530000000013</v>
      </c>
      <c r="S206" s="375">
        <f t="shared" si="71"/>
        <v>0.52924949999999904</v>
      </c>
      <c r="T206" s="375">
        <f t="shared" si="71"/>
        <v>0.25085200000000024</v>
      </c>
      <c r="U206" s="375">
        <f t="shared" si="71"/>
        <v>0.43033099999999969</v>
      </c>
      <c r="V206" s="375">
        <f t="shared" si="71"/>
        <v>1.621550000000006E-2</v>
      </c>
      <c r="W206" s="375">
        <f t="shared" si="71"/>
        <v>0</v>
      </c>
      <c r="X206" s="375">
        <f t="shared" si="71"/>
        <v>0</v>
      </c>
      <c r="Y206" s="369"/>
    </row>
    <row r="207" spans="1:26" ht="13.5" thickBot="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6" ht="13.5" thickBot="1" x14ac:dyDescent="0.25">
      <c r="A208" s="361" t="s">
        <v>537</v>
      </c>
      <c r="B208" s="359">
        <f>ROW(A208)</f>
        <v>208</v>
      </c>
      <c r="C208" s="363" t="s">
        <v>116</v>
      </c>
      <c r="D208" s="353">
        <f>SUM(B211:Y211)</f>
        <v>139.423417</v>
      </c>
      <c r="E208" s="363" t="s">
        <v>115</v>
      </c>
      <c r="F208" s="354">
        <f>D208/g/J208</f>
        <v>158.62027745922524</v>
      </c>
      <c r="G208" s="363" t="s">
        <v>57</v>
      </c>
      <c r="H208" s="64">
        <v>0.19450000000000001</v>
      </c>
      <c r="I208" s="363" t="s">
        <v>270</v>
      </c>
      <c r="J208" s="355">
        <f>H208-L208</f>
        <v>8.9600000000000013E-2</v>
      </c>
      <c r="K208" s="363" t="s">
        <v>271</v>
      </c>
      <c r="L208" s="64">
        <v>0.10489999999999999</v>
      </c>
      <c r="M208" s="363" t="s">
        <v>58</v>
      </c>
      <c r="N208" s="65">
        <v>114</v>
      </c>
      <c r="O208" s="363" t="s">
        <v>60</v>
      </c>
      <c r="P208" s="65">
        <v>144</v>
      </c>
      <c r="Q208" s="363" t="s">
        <v>61</v>
      </c>
      <c r="R208" s="65">
        <v>228</v>
      </c>
      <c r="S208" s="363" t="s">
        <v>62</v>
      </c>
      <c r="T208" s="65">
        <v>24</v>
      </c>
      <c r="U208" s="363" t="s">
        <v>55</v>
      </c>
      <c r="V208" s="66" t="s">
        <v>120</v>
      </c>
      <c r="W208" s="463" t="s">
        <v>394</v>
      </c>
      <c r="X208" s="465">
        <v>1.3</v>
      </c>
      <c r="Y208" s="463" t="s">
        <v>393</v>
      </c>
      <c r="Z208" s="358">
        <v>12</v>
      </c>
    </row>
    <row r="209" spans="1:26" x14ac:dyDescent="0.2">
      <c r="A209" s="362" t="s">
        <v>33</v>
      </c>
      <c r="B209" s="370">
        <v>0</v>
      </c>
      <c r="C209" s="371">
        <v>1.0999999999999999E-2</v>
      </c>
      <c r="D209" s="371">
        <v>2.1999999999999999E-2</v>
      </c>
      <c r="E209" s="371">
        <v>4.5999999999999999E-2</v>
      </c>
      <c r="F209" s="371">
        <v>8.1000000000000003E-2</v>
      </c>
      <c r="G209" s="371">
        <v>0.219</v>
      </c>
      <c r="H209" s="371">
        <v>0.253</v>
      </c>
      <c r="I209" s="371">
        <v>0.27400000000000002</v>
      </c>
      <c r="J209" s="371">
        <v>0.30499999999999999</v>
      </c>
      <c r="K209" s="371">
        <v>0.41199999999999998</v>
      </c>
      <c r="L209" s="371">
        <v>0.78900000000000003</v>
      </c>
      <c r="M209" s="371">
        <v>0.89900000000000002</v>
      </c>
      <c r="N209" s="371">
        <v>0.95299999999999996</v>
      </c>
      <c r="O209" s="371">
        <v>0.999</v>
      </c>
      <c r="P209" s="371">
        <v>1.03</v>
      </c>
      <c r="Q209" s="371">
        <v>1.0569999999999999</v>
      </c>
      <c r="R209" s="371">
        <v>1.1020000000000001</v>
      </c>
      <c r="S209" s="371">
        <v>1.1539999999999999</v>
      </c>
      <c r="T209" s="371">
        <v>1.1970000000000001</v>
      </c>
      <c r="U209" s="371">
        <v>1.2769999999999999</v>
      </c>
      <c r="V209" s="371">
        <v>1.335</v>
      </c>
      <c r="W209" s="371">
        <v>1.4510000000000001</v>
      </c>
      <c r="X209" s="371">
        <v>2</v>
      </c>
      <c r="Y209" s="381">
        <v>1000</v>
      </c>
    </row>
    <row r="210" spans="1:26" x14ac:dyDescent="0.2">
      <c r="A210" s="378" t="s">
        <v>34</v>
      </c>
      <c r="B210" s="372">
        <v>0</v>
      </c>
      <c r="C210" s="373">
        <v>198.41800000000001</v>
      </c>
      <c r="D210" s="373">
        <v>221.83500000000001</v>
      </c>
      <c r="E210" s="373">
        <v>212.65799999999999</v>
      </c>
      <c r="F210" s="373">
        <v>218.35400000000001</v>
      </c>
      <c r="G210" s="373">
        <v>204.43</v>
      </c>
      <c r="H210" s="373">
        <v>195.886</v>
      </c>
      <c r="I210" s="373">
        <v>183.54400000000001</v>
      </c>
      <c r="J210" s="373">
        <v>88.290999999999997</v>
      </c>
      <c r="K210" s="373">
        <v>93.671000000000006</v>
      </c>
      <c r="L210" s="373">
        <v>93.986999999999995</v>
      </c>
      <c r="M210" s="373">
        <v>91.138999999999996</v>
      </c>
      <c r="N210" s="373">
        <v>89.873000000000005</v>
      </c>
      <c r="O210" s="373">
        <v>87.025000000000006</v>
      </c>
      <c r="P210" s="373">
        <v>81.328999999999994</v>
      </c>
      <c r="Q210" s="373">
        <v>69.936999999999998</v>
      </c>
      <c r="R210" s="373">
        <v>54.113999999999997</v>
      </c>
      <c r="S210" s="373">
        <v>42.405000000000001</v>
      </c>
      <c r="T210" s="373">
        <v>31.646000000000001</v>
      </c>
      <c r="U210" s="373">
        <v>17.088999999999999</v>
      </c>
      <c r="V210" s="373">
        <v>9.81</v>
      </c>
      <c r="W210" s="373">
        <v>0</v>
      </c>
      <c r="X210" s="373">
        <v>0</v>
      </c>
      <c r="Y210" s="382">
        <v>0</v>
      </c>
    </row>
    <row r="211" spans="1:26" ht="13.5" thickBot="1" x14ac:dyDescent="0.25">
      <c r="A211" s="379" t="s">
        <v>117</v>
      </c>
      <c r="B211" s="374">
        <f t="shared" ref="B211:X211" si="72">(C210+B210)*(C209-B209)/2</f>
        <v>1.091299</v>
      </c>
      <c r="C211" s="375">
        <f t="shared" si="72"/>
        <v>2.3113915</v>
      </c>
      <c r="D211" s="375">
        <f t="shared" si="72"/>
        <v>5.2139160000000002</v>
      </c>
      <c r="E211" s="375">
        <f t="shared" si="72"/>
        <v>7.5427100000000005</v>
      </c>
      <c r="F211" s="375">
        <f t="shared" si="72"/>
        <v>29.172096000000003</v>
      </c>
      <c r="G211" s="375">
        <f t="shared" si="72"/>
        <v>6.8053720000000011</v>
      </c>
      <c r="H211" s="375">
        <f t="shared" si="72"/>
        <v>3.9840150000000034</v>
      </c>
      <c r="I211" s="375">
        <f t="shared" si="72"/>
        <v>4.2134424999999966</v>
      </c>
      <c r="J211" s="375">
        <f t="shared" si="72"/>
        <v>9.7349669999999975</v>
      </c>
      <c r="K211" s="375">
        <f t="shared" si="72"/>
        <v>35.373533000000009</v>
      </c>
      <c r="L211" s="375">
        <f t="shared" si="72"/>
        <v>10.181929999999998</v>
      </c>
      <c r="M211" s="375">
        <f t="shared" si="72"/>
        <v>4.8873239999999942</v>
      </c>
      <c r="N211" s="375">
        <f t="shared" si="72"/>
        <v>4.068654000000004</v>
      </c>
      <c r="O211" s="375">
        <f t="shared" si="72"/>
        <v>2.6094870000000019</v>
      </c>
      <c r="P211" s="375">
        <f t="shared" si="72"/>
        <v>2.0420909999999934</v>
      </c>
      <c r="Q211" s="375">
        <f t="shared" si="72"/>
        <v>2.791147500000009</v>
      </c>
      <c r="R211" s="375">
        <f t="shared" si="72"/>
        <v>2.5094939999999917</v>
      </c>
      <c r="S211" s="375">
        <f t="shared" si="72"/>
        <v>1.5920965000000056</v>
      </c>
      <c r="T211" s="375">
        <f t="shared" si="72"/>
        <v>1.9493999999999962</v>
      </c>
      <c r="U211" s="375">
        <f t="shared" si="72"/>
        <v>0.78007100000000074</v>
      </c>
      <c r="V211" s="375">
        <f t="shared" si="72"/>
        <v>0.56898000000000049</v>
      </c>
      <c r="W211" s="375">
        <f t="shared" si="72"/>
        <v>0</v>
      </c>
      <c r="X211" s="375">
        <f t="shared" si="72"/>
        <v>0</v>
      </c>
      <c r="Y211" s="369"/>
    </row>
    <row r="212" spans="1:26" ht="13.5" thickBot="1" x14ac:dyDescent="0.25">
      <c r="A212" s="6" t="s">
        <v>315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6" ht="13.5" thickBot="1" x14ac:dyDescent="0.25">
      <c r="A213" s="361" t="s">
        <v>375</v>
      </c>
      <c r="B213" s="359">
        <f>ROW(A213)</f>
        <v>213</v>
      </c>
      <c r="C213" s="363" t="s">
        <v>116</v>
      </c>
      <c r="D213" s="353">
        <f>SUM(B216:Y216)</f>
        <v>82.798500000000018</v>
      </c>
      <c r="E213" s="363" t="s">
        <v>115</v>
      </c>
      <c r="F213" s="354">
        <f>D213/g/J213</f>
        <v>131.87834480122325</v>
      </c>
      <c r="G213" s="363" t="s">
        <v>57</v>
      </c>
      <c r="H213" s="64">
        <v>0.152</v>
      </c>
      <c r="I213" s="363" t="s">
        <v>270</v>
      </c>
      <c r="J213" s="355">
        <f>H213-L213</f>
        <v>6.4000000000000001E-2</v>
      </c>
      <c r="K213" s="363" t="s">
        <v>271</v>
      </c>
      <c r="L213" s="64">
        <v>8.7999999999999995E-2</v>
      </c>
      <c r="M213" s="363" t="s">
        <v>58</v>
      </c>
      <c r="N213" s="65">
        <v>71</v>
      </c>
      <c r="O213" s="363" t="s">
        <v>60</v>
      </c>
      <c r="P213" s="65">
        <v>71</v>
      </c>
      <c r="Q213" s="363" t="s">
        <v>61</v>
      </c>
      <c r="R213" s="65">
        <v>142</v>
      </c>
      <c r="S213" s="363" t="s">
        <v>62</v>
      </c>
      <c r="T213" s="65">
        <v>29</v>
      </c>
      <c r="U213" s="363" t="s">
        <v>55</v>
      </c>
      <c r="V213" s="66" t="s">
        <v>120</v>
      </c>
      <c r="W213" s="463" t="s">
        <v>394</v>
      </c>
      <c r="X213" s="465">
        <v>0.96</v>
      </c>
      <c r="Y213" s="463" t="s">
        <v>393</v>
      </c>
      <c r="Z213" s="358">
        <v>11</v>
      </c>
    </row>
    <row r="214" spans="1:26" x14ac:dyDescent="0.2">
      <c r="A214" s="362" t="s">
        <v>33</v>
      </c>
      <c r="B214" s="370">
        <v>0</v>
      </c>
      <c r="C214" s="371">
        <v>0.02</v>
      </c>
      <c r="D214" s="371">
        <v>0.03</v>
      </c>
      <c r="E214" s="371">
        <v>0.04</v>
      </c>
      <c r="F214" s="371">
        <v>0.06</v>
      </c>
      <c r="G214" s="371">
        <v>0.08</v>
      </c>
      <c r="H214" s="371">
        <v>0.15</v>
      </c>
      <c r="I214" s="371">
        <v>0.18</v>
      </c>
      <c r="J214" s="371">
        <v>0.2</v>
      </c>
      <c r="K214" s="371">
        <v>0.3</v>
      </c>
      <c r="L214" s="371">
        <v>0.4</v>
      </c>
      <c r="M214" s="371">
        <v>0.5</v>
      </c>
      <c r="N214" s="371">
        <v>0.6</v>
      </c>
      <c r="O214" s="371">
        <v>0.7</v>
      </c>
      <c r="P214" s="371">
        <v>0.82</v>
      </c>
      <c r="Q214" s="371">
        <v>0.93</v>
      </c>
      <c r="R214" s="371">
        <v>1</v>
      </c>
      <c r="S214" s="371">
        <f t="shared" ref="S214:X215" si="73">R214</f>
        <v>1</v>
      </c>
      <c r="T214" s="371">
        <f t="shared" si="73"/>
        <v>1</v>
      </c>
      <c r="U214" s="371">
        <f t="shared" si="73"/>
        <v>1</v>
      </c>
      <c r="V214" s="371">
        <f t="shared" si="73"/>
        <v>1</v>
      </c>
      <c r="W214" s="371">
        <f t="shared" si="73"/>
        <v>1</v>
      </c>
      <c r="X214" s="371">
        <v>2</v>
      </c>
      <c r="Y214" s="381">
        <v>1000</v>
      </c>
    </row>
    <row r="215" spans="1:26" x14ac:dyDescent="0.2">
      <c r="A215" s="378" t="s">
        <v>34</v>
      </c>
      <c r="B215" s="372">
        <v>0</v>
      </c>
      <c r="C215" s="373">
        <v>41.9</v>
      </c>
      <c r="D215" s="373">
        <v>92.1</v>
      </c>
      <c r="E215" s="373">
        <v>116.7</v>
      </c>
      <c r="F215" s="373">
        <v>112.7</v>
      </c>
      <c r="G215" s="373">
        <v>82.7</v>
      </c>
      <c r="H215" s="373">
        <v>84.7</v>
      </c>
      <c r="I215" s="373">
        <v>86.2</v>
      </c>
      <c r="J215" s="373">
        <v>87.9</v>
      </c>
      <c r="K215" s="373">
        <v>90.9</v>
      </c>
      <c r="L215" s="373">
        <v>93.9</v>
      </c>
      <c r="M215" s="373">
        <v>95.3</v>
      </c>
      <c r="N215" s="373">
        <v>96.8</v>
      </c>
      <c r="O215" s="373">
        <v>97.6</v>
      </c>
      <c r="P215" s="373">
        <v>108.2</v>
      </c>
      <c r="Q215" s="373">
        <v>11</v>
      </c>
      <c r="R215" s="373">
        <v>0</v>
      </c>
      <c r="S215" s="373">
        <f t="shared" si="73"/>
        <v>0</v>
      </c>
      <c r="T215" s="373">
        <f t="shared" si="73"/>
        <v>0</v>
      </c>
      <c r="U215" s="373">
        <f t="shared" si="73"/>
        <v>0</v>
      </c>
      <c r="V215" s="373">
        <f t="shared" si="73"/>
        <v>0</v>
      </c>
      <c r="W215" s="373">
        <f t="shared" si="73"/>
        <v>0</v>
      </c>
      <c r="X215" s="373">
        <f t="shared" si="73"/>
        <v>0</v>
      </c>
      <c r="Y215" s="382">
        <v>0</v>
      </c>
    </row>
    <row r="216" spans="1:26" ht="13.5" thickBot="1" x14ac:dyDescent="0.25">
      <c r="A216" s="379" t="s">
        <v>117</v>
      </c>
      <c r="B216" s="374">
        <f t="shared" ref="B216:V216" si="74">(C215+B215)*(C214-B214)/2</f>
        <v>0.41899999999999998</v>
      </c>
      <c r="C216" s="375">
        <f t="shared" si="74"/>
        <v>0.66999999999999993</v>
      </c>
      <c r="D216" s="375">
        <f t="shared" si="74"/>
        <v>1.0440000000000003</v>
      </c>
      <c r="E216" s="375">
        <f t="shared" si="74"/>
        <v>2.2939999999999996</v>
      </c>
      <c r="F216" s="375">
        <f t="shared" si="74"/>
        <v>1.9540000000000004</v>
      </c>
      <c r="G216" s="375">
        <f t="shared" si="74"/>
        <v>5.859</v>
      </c>
      <c r="H216" s="375">
        <f t="shared" si="74"/>
        <v>2.5634999999999999</v>
      </c>
      <c r="I216" s="375">
        <f t="shared" si="74"/>
        <v>1.7410000000000019</v>
      </c>
      <c r="J216" s="375">
        <f>(K215+J215)*(K214-J214)/2</f>
        <v>8.9399999999999977</v>
      </c>
      <c r="K216" s="375">
        <f t="shared" si="74"/>
        <v>9.2400000000000038</v>
      </c>
      <c r="L216" s="375">
        <f t="shared" si="74"/>
        <v>9.4599999999999973</v>
      </c>
      <c r="M216" s="375">
        <f t="shared" si="74"/>
        <v>9.6049999999999969</v>
      </c>
      <c r="N216" s="375">
        <f t="shared" si="74"/>
        <v>9.7199999999999971</v>
      </c>
      <c r="O216" s="375">
        <f t="shared" si="74"/>
        <v>12.348000000000001</v>
      </c>
      <c r="P216" s="375">
        <f t="shared" si="74"/>
        <v>6.5560000000000063</v>
      </c>
      <c r="Q216" s="375">
        <f t="shared" si="74"/>
        <v>0.38499999999999973</v>
      </c>
      <c r="R216" s="375">
        <f t="shared" si="74"/>
        <v>0</v>
      </c>
      <c r="S216" s="375">
        <f>(T215+S215)*(T214-S214)/2</f>
        <v>0</v>
      </c>
      <c r="T216" s="375">
        <f t="shared" si="74"/>
        <v>0</v>
      </c>
      <c r="U216" s="375">
        <f t="shared" si="74"/>
        <v>0</v>
      </c>
      <c r="V216" s="375">
        <f t="shared" si="74"/>
        <v>0</v>
      </c>
      <c r="W216" s="375">
        <f>(X215+W215)*(X214-W214)/2</f>
        <v>0</v>
      </c>
      <c r="X216" s="375">
        <f>(Y215+X215)*(Y214-X214)/2</f>
        <v>0</v>
      </c>
      <c r="Y216" s="369"/>
    </row>
    <row r="217" spans="1:26" ht="13.5" thickBo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6" ht="13.5" thickBot="1" x14ac:dyDescent="0.25">
      <c r="A218" s="361" t="s">
        <v>376</v>
      </c>
      <c r="B218" s="359">
        <f>ROW(A218)</f>
        <v>218</v>
      </c>
      <c r="C218" s="363" t="s">
        <v>116</v>
      </c>
      <c r="D218" s="353">
        <f>SUM(B221:Y221)</f>
        <v>98.257101163036367</v>
      </c>
      <c r="E218" s="363" t="s">
        <v>115</v>
      </c>
      <c r="F218" s="354">
        <f>D218/g/J218</f>
        <v>177.58890761893778</v>
      </c>
      <c r="G218" s="363" t="s">
        <v>57</v>
      </c>
      <c r="H218" s="64">
        <v>0.14319999999999999</v>
      </c>
      <c r="I218" s="363" t="s">
        <v>270</v>
      </c>
      <c r="J218" s="355">
        <f>H218-L218</f>
        <v>5.6399999999999992E-2</v>
      </c>
      <c r="K218" s="363" t="s">
        <v>271</v>
      </c>
      <c r="L218" s="64">
        <v>8.6800000000000002E-2</v>
      </c>
      <c r="M218" s="363" t="s">
        <v>58</v>
      </c>
      <c r="N218" s="65">
        <v>71</v>
      </c>
      <c r="O218" s="363" t="s">
        <v>60</v>
      </c>
      <c r="P218" s="65">
        <v>71</v>
      </c>
      <c r="Q218" s="363" t="s">
        <v>61</v>
      </c>
      <c r="R218" s="65">
        <v>142</v>
      </c>
      <c r="S218" s="363" t="s">
        <v>62</v>
      </c>
      <c r="T218" s="65">
        <v>29</v>
      </c>
      <c r="U218" s="363" t="s">
        <v>55</v>
      </c>
      <c r="V218" s="66" t="s">
        <v>120</v>
      </c>
      <c r="W218" s="463" t="s">
        <v>394</v>
      </c>
      <c r="X218" s="465">
        <v>1.1499999999999999</v>
      </c>
      <c r="Y218" s="463" t="s">
        <v>393</v>
      </c>
      <c r="Z218" s="358">
        <v>14</v>
      </c>
    </row>
    <row r="219" spans="1:26" x14ac:dyDescent="0.2">
      <c r="A219" s="362" t="s">
        <v>33</v>
      </c>
      <c r="B219" s="370">
        <v>0</v>
      </c>
      <c r="C219" s="371">
        <v>1.4999999999999999E-2</v>
      </c>
      <c r="D219" s="371">
        <v>0.03</v>
      </c>
      <c r="E219" s="371">
        <v>4.4999999999999998E-2</v>
      </c>
      <c r="F219" s="371">
        <v>0.06</v>
      </c>
      <c r="G219" s="371">
        <v>7.4999999999999997E-2</v>
      </c>
      <c r="H219" s="371">
        <v>0.09</v>
      </c>
      <c r="I219" s="371">
        <v>0.105</v>
      </c>
      <c r="J219" s="371">
        <v>0.12</v>
      </c>
      <c r="K219" s="371">
        <v>0.18</v>
      </c>
      <c r="L219" s="371">
        <v>0.24</v>
      </c>
      <c r="M219" s="371">
        <v>0.3</v>
      </c>
      <c r="N219" s="371">
        <v>0.48</v>
      </c>
      <c r="O219" s="371">
        <v>0.6</v>
      </c>
      <c r="P219" s="371">
        <v>0.66</v>
      </c>
      <c r="Q219" s="371">
        <v>0.72</v>
      </c>
      <c r="R219" s="371">
        <v>0.78</v>
      </c>
      <c r="S219" s="371">
        <v>0.84</v>
      </c>
      <c r="T219" s="371">
        <v>0.9</v>
      </c>
      <c r="U219" s="371">
        <v>0.96</v>
      </c>
      <c r="V219" s="371">
        <v>1.0349999999999999</v>
      </c>
      <c r="W219" s="371">
        <v>1.2</v>
      </c>
      <c r="X219" s="371">
        <v>2</v>
      </c>
      <c r="Y219" s="381">
        <v>1000</v>
      </c>
    </row>
    <row r="220" spans="1:26" x14ac:dyDescent="0.2">
      <c r="A220" s="378" t="s">
        <v>34</v>
      </c>
      <c r="B220" s="372">
        <v>0</v>
      </c>
      <c r="C220" s="376">
        <v>99.328788958822486</v>
      </c>
      <c r="D220" s="376">
        <v>109.07039432469</v>
      </c>
      <c r="E220" s="376">
        <v>65.255411286427503</v>
      </c>
      <c r="F220" s="376">
        <v>67.568486533117493</v>
      </c>
      <c r="G220" s="376">
        <v>73.929443461515007</v>
      </c>
      <c r="H220" s="376">
        <v>74.329783408057494</v>
      </c>
      <c r="I220" s="376">
        <v>78.1552540083525</v>
      </c>
      <c r="J220" s="376">
        <v>78.600076171177506</v>
      </c>
      <c r="K220" s="376">
        <v>82.203135690059995</v>
      </c>
      <c r="L220" s="376">
        <v>84.516210936749999</v>
      </c>
      <c r="M220" s="376">
        <v>88.51961040217499</v>
      </c>
      <c r="N220" s="376">
        <v>95.102978411984992</v>
      </c>
      <c r="O220" s="376">
        <v>95.547800574809997</v>
      </c>
      <c r="P220" s="376">
        <v>94.480227384029988</v>
      </c>
      <c r="Q220" s="376">
        <v>92.122669921057494</v>
      </c>
      <c r="R220" s="376">
        <v>90.743721216299988</v>
      </c>
      <c r="S220" s="376">
        <v>88.964432564999996</v>
      </c>
      <c r="T220" s="376">
        <v>85.405855262399996</v>
      </c>
      <c r="U220" s="376">
        <v>83.448637745970004</v>
      </c>
      <c r="V220" s="376">
        <v>88.074788239349999</v>
      </c>
      <c r="W220" s="376">
        <v>0</v>
      </c>
      <c r="X220" s="373">
        <v>0</v>
      </c>
      <c r="Y220" s="382">
        <v>0</v>
      </c>
    </row>
    <row r="221" spans="1:26" ht="13.5" thickBot="1" x14ac:dyDescent="0.25">
      <c r="A221" s="379" t="s">
        <v>117</v>
      </c>
      <c r="B221" s="374">
        <f t="shared" ref="B221:V221" si="75">(C220+B220)*(C219-B219)/2</f>
        <v>0.74496591719116867</v>
      </c>
      <c r="C221" s="375">
        <f t="shared" si="75"/>
        <v>1.5629938746263436</v>
      </c>
      <c r="D221" s="375">
        <f t="shared" si="75"/>
        <v>1.3074435420833814</v>
      </c>
      <c r="E221" s="375">
        <f t="shared" si="75"/>
        <v>0.99617923364658734</v>
      </c>
      <c r="F221" s="375">
        <f t="shared" si="75"/>
        <v>1.0612344749597438</v>
      </c>
      <c r="G221" s="375">
        <f t="shared" si="75"/>
        <v>1.1119442015217937</v>
      </c>
      <c r="H221" s="375">
        <f t="shared" si="75"/>
        <v>1.1436377806230749</v>
      </c>
      <c r="I221" s="375">
        <f t="shared" si="75"/>
        <v>1.175664976346475</v>
      </c>
      <c r="J221" s="375">
        <f>(K220+J220)*(K219-J219)/2</f>
        <v>4.824096355837125</v>
      </c>
      <c r="K221" s="375">
        <f t="shared" si="75"/>
        <v>5.0015803988042995</v>
      </c>
      <c r="L221" s="375">
        <f t="shared" si="75"/>
        <v>5.1910746401677494</v>
      </c>
      <c r="M221" s="375">
        <f t="shared" si="75"/>
        <v>16.526032993274399</v>
      </c>
      <c r="N221" s="375">
        <f t="shared" si="75"/>
        <v>11.439046739207699</v>
      </c>
      <c r="O221" s="375">
        <f t="shared" si="75"/>
        <v>5.7008408387652043</v>
      </c>
      <c r="P221" s="375">
        <f t="shared" si="75"/>
        <v>5.5980869191526192</v>
      </c>
      <c r="Q221" s="375">
        <f t="shared" si="75"/>
        <v>5.4859917341207289</v>
      </c>
      <c r="R221" s="375">
        <f t="shared" si="75"/>
        <v>5.3912446134389942</v>
      </c>
      <c r="S221" s="375">
        <f>(T220+S220)*(T219-S219)/2</f>
        <v>5.2311086348220037</v>
      </c>
      <c r="T221" s="375">
        <f t="shared" si="75"/>
        <v>5.0656347902510959</v>
      </c>
      <c r="U221" s="375">
        <f t="shared" si="75"/>
        <v>6.4321284744494962</v>
      </c>
      <c r="V221" s="375">
        <f t="shared" si="75"/>
        <v>7.2661700297463767</v>
      </c>
      <c r="W221" s="375">
        <f>(X220+W220)*(X219-W219)/2</f>
        <v>0</v>
      </c>
      <c r="X221" s="375">
        <f>(Y220+X220)*(Y219-X219)/2</f>
        <v>0</v>
      </c>
      <c r="Y221" s="369"/>
    </row>
    <row r="222" spans="1:26" ht="13.5" thickBo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6" ht="13.5" thickBot="1" x14ac:dyDescent="0.25">
      <c r="A223" s="361" t="s">
        <v>377</v>
      </c>
      <c r="B223" s="359">
        <f>ROW(A223)</f>
        <v>223</v>
      </c>
      <c r="C223" s="363" t="s">
        <v>116</v>
      </c>
      <c r="D223" s="353">
        <f>SUM(B226:Y226)</f>
        <v>109.60639850000001</v>
      </c>
      <c r="E223" s="363" t="s">
        <v>115</v>
      </c>
      <c r="F223" s="354">
        <f>D223/g/J223</f>
        <v>194.31174666489383</v>
      </c>
      <c r="G223" s="363" t="s">
        <v>57</v>
      </c>
      <c r="H223" s="64">
        <v>0.14130000000000001</v>
      </c>
      <c r="I223" s="363" t="s">
        <v>270</v>
      </c>
      <c r="J223" s="355">
        <f>H223-L223</f>
        <v>5.7500000000000009E-2</v>
      </c>
      <c r="K223" s="363" t="s">
        <v>271</v>
      </c>
      <c r="L223" s="64">
        <v>8.3799999999999999E-2</v>
      </c>
      <c r="M223" s="363" t="s">
        <v>58</v>
      </c>
      <c r="N223" s="65">
        <v>71</v>
      </c>
      <c r="O223" s="363" t="s">
        <v>60</v>
      </c>
      <c r="P223" s="65">
        <v>71</v>
      </c>
      <c r="Q223" s="363" t="s">
        <v>61</v>
      </c>
      <c r="R223" s="65">
        <v>142</v>
      </c>
      <c r="S223" s="363" t="s">
        <v>62</v>
      </c>
      <c r="T223" s="65">
        <v>29</v>
      </c>
      <c r="U223" s="363" t="s">
        <v>55</v>
      </c>
      <c r="V223" s="66" t="s">
        <v>401</v>
      </c>
      <c r="W223" s="463" t="s">
        <v>394</v>
      </c>
      <c r="X223" s="465">
        <v>0.45</v>
      </c>
      <c r="Y223" s="463" t="s">
        <v>393</v>
      </c>
      <c r="Z223" s="358">
        <v>14</v>
      </c>
    </row>
    <row r="224" spans="1:26" x14ac:dyDescent="0.2">
      <c r="A224" s="362" t="s">
        <v>33</v>
      </c>
      <c r="B224" s="370">
        <v>0</v>
      </c>
      <c r="C224" s="371">
        <v>6.0000000000000001E-3</v>
      </c>
      <c r="D224" s="371">
        <v>1.0999999999999999E-2</v>
      </c>
      <c r="E224" s="371">
        <v>1.6E-2</v>
      </c>
      <c r="F224" s="371">
        <v>3.1E-2</v>
      </c>
      <c r="G224" s="371">
        <v>7.4999999999999997E-2</v>
      </c>
      <c r="H224" s="371">
        <v>0.122</v>
      </c>
      <c r="I224" s="371">
        <v>0.216</v>
      </c>
      <c r="J224" s="371">
        <v>0.25</v>
      </c>
      <c r="K224" s="371">
        <v>0.28699999999999998</v>
      </c>
      <c r="L224" s="371">
        <v>0.35399999999999998</v>
      </c>
      <c r="M224" s="371">
        <v>0.374</v>
      </c>
      <c r="N224" s="371">
        <v>0.4</v>
      </c>
      <c r="O224" s="371">
        <v>0.41299999999999998</v>
      </c>
      <c r="P224" s="371">
        <v>0.42</v>
      </c>
      <c r="Q224" s="371">
        <v>0.433</v>
      </c>
      <c r="R224" s="371">
        <v>0.44500000000000001</v>
      </c>
      <c r="S224" s="371">
        <v>0.45400000000000001</v>
      </c>
      <c r="T224" s="371">
        <f t="shared" ref="T224:X225" si="76">S224</f>
        <v>0.45400000000000001</v>
      </c>
      <c r="U224" s="371">
        <f t="shared" si="76"/>
        <v>0.45400000000000001</v>
      </c>
      <c r="V224" s="371">
        <f t="shared" si="76"/>
        <v>0.45400000000000001</v>
      </c>
      <c r="W224" s="371">
        <f t="shared" si="76"/>
        <v>0.45400000000000001</v>
      </c>
      <c r="X224" s="371">
        <v>2</v>
      </c>
      <c r="Y224" s="381">
        <v>1000</v>
      </c>
    </row>
    <row r="225" spans="1:26" x14ac:dyDescent="0.2">
      <c r="A225" s="378" t="s">
        <v>34</v>
      </c>
      <c r="B225" s="372">
        <v>0</v>
      </c>
      <c r="C225" s="373">
        <v>151.62100000000001</v>
      </c>
      <c r="D225" s="373">
        <v>198.07900000000001</v>
      </c>
      <c r="E225" s="373">
        <v>203.12100000000001</v>
      </c>
      <c r="F225" s="373">
        <v>201.68100000000001</v>
      </c>
      <c r="G225" s="373">
        <v>226.17</v>
      </c>
      <c r="H225" s="373">
        <v>250.3</v>
      </c>
      <c r="I225" s="373">
        <v>280.19200000000001</v>
      </c>
      <c r="J225" s="373">
        <v>287.03500000000003</v>
      </c>
      <c r="K225" s="373">
        <v>284.87400000000002</v>
      </c>
      <c r="L225" s="373">
        <v>269.74799999999999</v>
      </c>
      <c r="M225" s="373">
        <v>258.58300000000003</v>
      </c>
      <c r="N225" s="373">
        <v>233.37299999999999</v>
      </c>
      <c r="O225" s="373">
        <v>234.09399999999999</v>
      </c>
      <c r="P225" s="373">
        <v>227.61099999999999</v>
      </c>
      <c r="Q225" s="373">
        <v>137.935</v>
      </c>
      <c r="R225" s="373">
        <v>33.853999999999999</v>
      </c>
      <c r="S225" s="373">
        <v>0</v>
      </c>
      <c r="T225" s="373">
        <f t="shared" si="76"/>
        <v>0</v>
      </c>
      <c r="U225" s="373">
        <f t="shared" si="76"/>
        <v>0</v>
      </c>
      <c r="V225" s="373">
        <f t="shared" si="76"/>
        <v>0</v>
      </c>
      <c r="W225" s="373">
        <f t="shared" si="76"/>
        <v>0</v>
      </c>
      <c r="X225" s="373">
        <f t="shared" si="76"/>
        <v>0</v>
      </c>
      <c r="Y225" s="382">
        <v>0</v>
      </c>
    </row>
    <row r="226" spans="1:26" ht="13.5" thickBot="1" x14ac:dyDescent="0.25">
      <c r="A226" s="379" t="s">
        <v>117</v>
      </c>
      <c r="B226" s="374">
        <f t="shared" ref="B226:X226" si="77">(C225+B225)*(C224-B224)/2</f>
        <v>0.45486300000000002</v>
      </c>
      <c r="C226" s="375">
        <f t="shared" si="77"/>
        <v>0.87424999999999997</v>
      </c>
      <c r="D226" s="375">
        <f t="shared" si="77"/>
        <v>1.0030000000000003</v>
      </c>
      <c r="E226" s="375">
        <f t="shared" si="77"/>
        <v>3.0360149999999999</v>
      </c>
      <c r="F226" s="375">
        <f t="shared" si="77"/>
        <v>9.4127219999999987</v>
      </c>
      <c r="G226" s="375">
        <f t="shared" si="77"/>
        <v>11.197045000000001</v>
      </c>
      <c r="H226" s="375">
        <f t="shared" si="77"/>
        <v>24.933123999999999</v>
      </c>
      <c r="I226" s="375">
        <f t="shared" si="77"/>
        <v>9.6428590000000014</v>
      </c>
      <c r="J226" s="375">
        <f t="shared" si="77"/>
        <v>10.580316499999995</v>
      </c>
      <c r="K226" s="375">
        <f t="shared" si="77"/>
        <v>18.579837000000005</v>
      </c>
      <c r="L226" s="375">
        <f t="shared" si="77"/>
        <v>5.2833100000000046</v>
      </c>
      <c r="M226" s="375">
        <f t="shared" si="77"/>
        <v>6.3954280000000061</v>
      </c>
      <c r="N226" s="375">
        <f t="shared" si="77"/>
        <v>3.0385354999999898</v>
      </c>
      <c r="O226" s="375">
        <f t="shared" si="77"/>
        <v>1.6159675000000013</v>
      </c>
      <c r="P226" s="375">
        <f t="shared" si="77"/>
        <v>2.3760490000000019</v>
      </c>
      <c r="Q226" s="375">
        <f t="shared" si="77"/>
        <v>1.0307340000000009</v>
      </c>
      <c r="R226" s="375">
        <f t="shared" si="77"/>
        <v>0.15234300000000014</v>
      </c>
      <c r="S226" s="375">
        <f t="shared" si="77"/>
        <v>0</v>
      </c>
      <c r="T226" s="375">
        <f t="shared" si="77"/>
        <v>0</v>
      </c>
      <c r="U226" s="375">
        <f t="shared" si="77"/>
        <v>0</v>
      </c>
      <c r="V226" s="375">
        <f t="shared" si="77"/>
        <v>0</v>
      </c>
      <c r="W226" s="375">
        <f t="shared" si="77"/>
        <v>0</v>
      </c>
      <c r="X226" s="375">
        <f t="shared" si="77"/>
        <v>0</v>
      </c>
      <c r="Y226" s="369"/>
    </row>
    <row r="227" spans="1:26" ht="13.5" thickBot="1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6" ht="13.5" thickBot="1" x14ac:dyDescent="0.25">
      <c r="A228" s="361" t="s">
        <v>378</v>
      </c>
      <c r="B228" s="359">
        <f>ROW(A228)</f>
        <v>228</v>
      </c>
      <c r="C228" s="363" t="s">
        <v>116</v>
      </c>
      <c r="D228" s="353">
        <f>SUM(B231:Y231)</f>
        <v>115.63</v>
      </c>
      <c r="E228" s="363" t="s">
        <v>115</v>
      </c>
      <c r="F228" s="354">
        <f>D228/g/J228</f>
        <v>199.77884897804037</v>
      </c>
      <c r="G228" s="363" t="s">
        <v>57</v>
      </c>
      <c r="H228" s="64">
        <v>0.14499999999999999</v>
      </c>
      <c r="I228" s="363" t="s">
        <v>270</v>
      </c>
      <c r="J228" s="355">
        <f>H228-L228</f>
        <v>5.8999999999999997E-2</v>
      </c>
      <c r="K228" s="363" t="s">
        <v>271</v>
      </c>
      <c r="L228" s="64">
        <v>8.5999999999999993E-2</v>
      </c>
      <c r="M228" s="363" t="s">
        <v>58</v>
      </c>
      <c r="N228" s="65">
        <v>71</v>
      </c>
      <c r="O228" s="363" t="s">
        <v>60</v>
      </c>
      <c r="P228" s="65">
        <v>71</v>
      </c>
      <c r="Q228" s="363" t="s">
        <v>61</v>
      </c>
      <c r="R228" s="65">
        <v>142</v>
      </c>
      <c r="S228" s="363" t="s">
        <v>62</v>
      </c>
      <c r="T228" s="65">
        <v>29</v>
      </c>
      <c r="U228" s="363" t="s">
        <v>55</v>
      </c>
      <c r="V228" s="66" t="s">
        <v>400</v>
      </c>
      <c r="W228" s="463" t="s">
        <v>394</v>
      </c>
      <c r="X228" s="465">
        <v>0.93</v>
      </c>
      <c r="Y228" s="463" t="s">
        <v>393</v>
      </c>
      <c r="Z228" s="358">
        <v>13</v>
      </c>
    </row>
    <row r="229" spans="1:26" x14ac:dyDescent="0.2">
      <c r="A229" s="362" t="s">
        <v>33</v>
      </c>
      <c r="B229" s="370">
        <v>0</v>
      </c>
      <c r="C229" s="371">
        <v>0.01</v>
      </c>
      <c r="D229" s="371">
        <v>0.02</v>
      </c>
      <c r="E229" s="371">
        <v>0.03</v>
      </c>
      <c r="F229" s="371">
        <v>0.04</v>
      </c>
      <c r="G229" s="371">
        <v>0.05</v>
      </c>
      <c r="H229" s="371">
        <v>0.1</v>
      </c>
      <c r="I229" s="371">
        <v>0.2</v>
      </c>
      <c r="J229" s="371">
        <v>0.3</v>
      </c>
      <c r="K229" s="371">
        <v>0.4</v>
      </c>
      <c r="L229" s="371">
        <v>0.6</v>
      </c>
      <c r="M229" s="371">
        <v>0.75</v>
      </c>
      <c r="N229" s="371">
        <v>0.81</v>
      </c>
      <c r="O229" s="371">
        <v>0.86</v>
      </c>
      <c r="P229" s="371">
        <v>0.9</v>
      </c>
      <c r="Q229" s="371">
        <v>0.95</v>
      </c>
      <c r="R229" s="371">
        <v>1</v>
      </c>
      <c r="S229" s="371">
        <v>1</v>
      </c>
      <c r="T229" s="371">
        <v>1</v>
      </c>
      <c r="U229" s="371">
        <v>1</v>
      </c>
      <c r="V229" s="371">
        <v>1</v>
      </c>
      <c r="W229" s="371">
        <v>1</v>
      </c>
      <c r="X229" s="371">
        <v>2</v>
      </c>
      <c r="Y229" s="381">
        <v>1000</v>
      </c>
    </row>
    <row r="230" spans="1:26" x14ac:dyDescent="0.2">
      <c r="A230" s="378" t="s">
        <v>34</v>
      </c>
      <c r="B230" s="372">
        <v>0</v>
      </c>
      <c r="C230" s="376">
        <v>55</v>
      </c>
      <c r="D230" s="376">
        <v>168</v>
      </c>
      <c r="E230" s="376">
        <v>157</v>
      </c>
      <c r="F230" s="376">
        <v>148</v>
      </c>
      <c r="G230" s="376">
        <v>125</v>
      </c>
      <c r="H230" s="376">
        <v>135</v>
      </c>
      <c r="I230" s="376">
        <v>141</v>
      </c>
      <c r="J230" s="376">
        <v>142</v>
      </c>
      <c r="K230" s="376">
        <v>141</v>
      </c>
      <c r="L230" s="376">
        <v>133</v>
      </c>
      <c r="M230" s="376">
        <v>127</v>
      </c>
      <c r="N230" s="376">
        <v>128</v>
      </c>
      <c r="O230" s="376">
        <v>60</v>
      </c>
      <c r="P230" s="376">
        <v>15</v>
      </c>
      <c r="Q230" s="376">
        <v>0</v>
      </c>
      <c r="R230" s="376">
        <v>0</v>
      </c>
      <c r="S230" s="376">
        <v>0</v>
      </c>
      <c r="T230" s="376">
        <v>0</v>
      </c>
      <c r="U230" s="376">
        <v>0</v>
      </c>
      <c r="V230" s="376">
        <v>0</v>
      </c>
      <c r="W230" s="376">
        <v>0</v>
      </c>
      <c r="X230" s="373">
        <v>0</v>
      </c>
      <c r="Y230" s="382">
        <v>0</v>
      </c>
    </row>
    <row r="231" spans="1:26" ht="13.5" thickBot="1" x14ac:dyDescent="0.25">
      <c r="A231" s="379" t="s">
        <v>117</v>
      </c>
      <c r="B231" s="374">
        <f t="shared" ref="B231:X231" si="78">(C230+B230)*(C229-B229)/2</f>
        <v>0.27500000000000002</v>
      </c>
      <c r="C231" s="375">
        <f t="shared" si="78"/>
        <v>1.115</v>
      </c>
      <c r="D231" s="375">
        <f t="shared" si="78"/>
        <v>1.6249999999999998</v>
      </c>
      <c r="E231" s="375">
        <f t="shared" si="78"/>
        <v>1.5250000000000004</v>
      </c>
      <c r="F231" s="375">
        <f t="shared" si="78"/>
        <v>1.3650000000000002</v>
      </c>
      <c r="G231" s="375">
        <f t="shared" si="78"/>
        <v>6.5</v>
      </c>
      <c r="H231" s="375">
        <f t="shared" si="78"/>
        <v>13.8</v>
      </c>
      <c r="I231" s="375">
        <f t="shared" si="78"/>
        <v>14.149999999999997</v>
      </c>
      <c r="J231" s="375">
        <f t="shared" si="78"/>
        <v>14.150000000000004</v>
      </c>
      <c r="K231" s="375">
        <f t="shared" si="78"/>
        <v>27.399999999999995</v>
      </c>
      <c r="L231" s="375">
        <f t="shared" si="78"/>
        <v>19.500000000000004</v>
      </c>
      <c r="M231" s="375">
        <f t="shared" si="78"/>
        <v>7.6500000000000066</v>
      </c>
      <c r="N231" s="375">
        <f t="shared" si="78"/>
        <v>4.699999999999994</v>
      </c>
      <c r="O231" s="375">
        <f t="shared" si="78"/>
        <v>1.5000000000000013</v>
      </c>
      <c r="P231" s="375">
        <f t="shared" si="78"/>
        <v>0.3749999999999995</v>
      </c>
      <c r="Q231" s="375">
        <f t="shared" si="78"/>
        <v>0</v>
      </c>
      <c r="R231" s="375">
        <f t="shared" si="78"/>
        <v>0</v>
      </c>
      <c r="S231" s="375">
        <f t="shared" si="78"/>
        <v>0</v>
      </c>
      <c r="T231" s="375">
        <f t="shared" si="78"/>
        <v>0</v>
      </c>
      <c r="U231" s="375">
        <f t="shared" si="78"/>
        <v>0</v>
      </c>
      <c r="V231" s="375">
        <f t="shared" si="78"/>
        <v>0</v>
      </c>
      <c r="W231" s="375">
        <f t="shared" si="78"/>
        <v>0</v>
      </c>
      <c r="X231" s="375">
        <f t="shared" si="78"/>
        <v>0</v>
      </c>
      <c r="Y231" s="369"/>
    </row>
    <row r="232" spans="1:26" ht="13.5" thickBot="1" x14ac:dyDescent="0.25">
      <c r="A232" s="6" t="s">
        <v>386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6" ht="13.5" thickBot="1" x14ac:dyDescent="0.25">
      <c r="A233" s="361" t="s">
        <v>387</v>
      </c>
      <c r="B233" s="359">
        <f>ROW(A233)</f>
        <v>233</v>
      </c>
      <c r="C233" s="363" t="s">
        <v>116</v>
      </c>
      <c r="D233" s="353">
        <f>SUM(B236:Y236)</f>
        <v>115.63</v>
      </c>
      <c r="E233" s="363" t="s">
        <v>115</v>
      </c>
      <c r="F233" s="354">
        <f>D233/g/J233</f>
        <v>125.39310733728064</v>
      </c>
      <c r="G233" s="363" t="s">
        <v>57</v>
      </c>
      <c r="H233" s="64">
        <v>0.2</v>
      </c>
      <c r="I233" s="363" t="s">
        <v>270</v>
      </c>
      <c r="J233" s="355">
        <f>H233-L233</f>
        <v>9.4000000000000014E-2</v>
      </c>
      <c r="K233" s="363" t="s">
        <v>271</v>
      </c>
      <c r="L233" s="64">
        <v>0.106</v>
      </c>
      <c r="M233" s="363" t="s">
        <v>58</v>
      </c>
      <c r="N233" s="65">
        <v>93</v>
      </c>
      <c r="O233" s="363" t="s">
        <v>60</v>
      </c>
      <c r="P233" s="65">
        <v>93</v>
      </c>
      <c r="Q233" s="363" t="s">
        <v>61</v>
      </c>
      <c r="R233" s="65">
        <v>187</v>
      </c>
      <c r="S233" s="363" t="s">
        <v>62</v>
      </c>
      <c r="T233" s="65">
        <v>29</v>
      </c>
      <c r="U233" s="363" t="s">
        <v>55</v>
      </c>
      <c r="V233" s="66" t="s">
        <v>120</v>
      </c>
      <c r="W233" s="463" t="s">
        <v>394</v>
      </c>
      <c r="X233" s="465">
        <v>0.96</v>
      </c>
      <c r="Y233" s="463" t="s">
        <v>393</v>
      </c>
      <c r="Z233" s="358">
        <v>14</v>
      </c>
    </row>
    <row r="234" spans="1:26" x14ac:dyDescent="0.2">
      <c r="A234" s="362" t="s">
        <v>33</v>
      </c>
      <c r="B234" s="370">
        <v>0</v>
      </c>
      <c r="C234" s="371">
        <v>0.01</v>
      </c>
      <c r="D234" s="371">
        <v>0.02</v>
      </c>
      <c r="E234" s="371">
        <v>0.03</v>
      </c>
      <c r="F234" s="371">
        <v>0.04</v>
      </c>
      <c r="G234" s="371">
        <v>0.05</v>
      </c>
      <c r="H234" s="371">
        <v>0.1</v>
      </c>
      <c r="I234" s="371">
        <v>0.2</v>
      </c>
      <c r="J234" s="371">
        <v>0.3</v>
      </c>
      <c r="K234" s="371">
        <v>0.4</v>
      </c>
      <c r="L234" s="371">
        <v>0.6</v>
      </c>
      <c r="M234" s="371">
        <v>0.75</v>
      </c>
      <c r="N234" s="371">
        <v>0.81</v>
      </c>
      <c r="O234" s="371">
        <v>0.86</v>
      </c>
      <c r="P234" s="371">
        <v>0.9</v>
      </c>
      <c r="Q234" s="371">
        <v>0.95</v>
      </c>
      <c r="R234" s="371">
        <v>1</v>
      </c>
      <c r="S234" s="371">
        <f t="shared" ref="S234:X235" si="79">R234</f>
        <v>1</v>
      </c>
      <c r="T234" s="371">
        <f t="shared" si="79"/>
        <v>1</v>
      </c>
      <c r="U234" s="371">
        <f t="shared" si="79"/>
        <v>1</v>
      </c>
      <c r="V234" s="371">
        <f t="shared" si="79"/>
        <v>1</v>
      </c>
      <c r="W234" s="371">
        <f t="shared" si="79"/>
        <v>1</v>
      </c>
      <c r="X234" s="371">
        <v>2</v>
      </c>
      <c r="Y234" s="381">
        <v>1000</v>
      </c>
    </row>
    <row r="235" spans="1:26" x14ac:dyDescent="0.2">
      <c r="A235" s="378" t="s">
        <v>34</v>
      </c>
      <c r="B235" s="372">
        <v>0</v>
      </c>
      <c r="C235" s="373">
        <v>55</v>
      </c>
      <c r="D235" s="373">
        <v>168</v>
      </c>
      <c r="E235" s="373">
        <v>157</v>
      </c>
      <c r="F235" s="373">
        <v>148</v>
      </c>
      <c r="G235" s="373">
        <v>125</v>
      </c>
      <c r="H235" s="373">
        <v>135</v>
      </c>
      <c r="I235" s="373">
        <v>141</v>
      </c>
      <c r="J235" s="373">
        <v>142</v>
      </c>
      <c r="K235" s="373">
        <v>141</v>
      </c>
      <c r="L235" s="373">
        <v>133</v>
      </c>
      <c r="M235" s="373">
        <v>127</v>
      </c>
      <c r="N235" s="373">
        <v>128</v>
      </c>
      <c r="O235" s="373">
        <v>60</v>
      </c>
      <c r="P235" s="373">
        <v>15</v>
      </c>
      <c r="Q235" s="373">
        <v>0</v>
      </c>
      <c r="R235" s="373">
        <v>0</v>
      </c>
      <c r="S235" s="373">
        <f t="shared" si="79"/>
        <v>0</v>
      </c>
      <c r="T235" s="373">
        <f t="shared" si="79"/>
        <v>0</v>
      </c>
      <c r="U235" s="373">
        <f t="shared" si="79"/>
        <v>0</v>
      </c>
      <c r="V235" s="373">
        <f t="shared" si="79"/>
        <v>0</v>
      </c>
      <c r="W235" s="373">
        <f t="shared" si="79"/>
        <v>0</v>
      </c>
      <c r="X235" s="373">
        <f t="shared" si="79"/>
        <v>0</v>
      </c>
      <c r="Y235" s="382">
        <v>0</v>
      </c>
    </row>
    <row r="236" spans="1:26" ht="13.5" thickBot="1" x14ac:dyDescent="0.25">
      <c r="A236" s="379" t="s">
        <v>117</v>
      </c>
      <c r="B236" s="374">
        <f t="shared" ref="B236:X236" si="80">(C235+B235)*(C234-B234)/2</f>
        <v>0.27500000000000002</v>
      </c>
      <c r="C236" s="375">
        <f t="shared" si="80"/>
        <v>1.115</v>
      </c>
      <c r="D236" s="375">
        <f t="shared" si="80"/>
        <v>1.6249999999999998</v>
      </c>
      <c r="E236" s="375">
        <f t="shared" si="80"/>
        <v>1.5250000000000004</v>
      </c>
      <c r="F236" s="375">
        <f t="shared" si="80"/>
        <v>1.3650000000000002</v>
      </c>
      <c r="G236" s="375">
        <f t="shared" si="80"/>
        <v>6.5</v>
      </c>
      <c r="H236" s="375">
        <f t="shared" si="80"/>
        <v>13.8</v>
      </c>
      <c r="I236" s="375">
        <f t="shared" si="80"/>
        <v>14.149999999999997</v>
      </c>
      <c r="J236" s="375">
        <f t="shared" si="80"/>
        <v>14.150000000000004</v>
      </c>
      <c r="K236" s="375">
        <f t="shared" si="80"/>
        <v>27.399999999999995</v>
      </c>
      <c r="L236" s="375">
        <f t="shared" si="80"/>
        <v>19.500000000000004</v>
      </c>
      <c r="M236" s="375">
        <f t="shared" si="80"/>
        <v>7.6500000000000066</v>
      </c>
      <c r="N236" s="375">
        <f t="shared" si="80"/>
        <v>4.699999999999994</v>
      </c>
      <c r="O236" s="375">
        <f t="shared" si="80"/>
        <v>1.5000000000000013</v>
      </c>
      <c r="P236" s="375">
        <f t="shared" si="80"/>
        <v>0.3749999999999995</v>
      </c>
      <c r="Q236" s="375">
        <f t="shared" si="80"/>
        <v>0</v>
      </c>
      <c r="R236" s="375">
        <f t="shared" si="80"/>
        <v>0</v>
      </c>
      <c r="S236" s="375">
        <f t="shared" si="80"/>
        <v>0</v>
      </c>
      <c r="T236" s="375">
        <f t="shared" si="80"/>
        <v>0</v>
      </c>
      <c r="U236" s="375">
        <f t="shared" si="80"/>
        <v>0</v>
      </c>
      <c r="V236" s="375">
        <f t="shared" si="80"/>
        <v>0</v>
      </c>
      <c r="W236" s="375">
        <f t="shared" si="80"/>
        <v>0</v>
      </c>
      <c r="X236" s="375">
        <f t="shared" si="80"/>
        <v>0</v>
      </c>
      <c r="Y236" s="369"/>
    </row>
    <row r="237" spans="1:26" ht="13.5" thickBot="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6" ht="13.5" thickBot="1" x14ac:dyDescent="0.25">
      <c r="A238" s="361" t="s">
        <v>392</v>
      </c>
      <c r="B238" s="359">
        <f>ROW(A238)</f>
        <v>238</v>
      </c>
      <c r="C238" s="363" t="s">
        <v>116</v>
      </c>
      <c r="D238" s="353">
        <f>SUM(B241:Y241)</f>
        <v>158.04815100000002</v>
      </c>
      <c r="E238" s="363" t="s">
        <v>115</v>
      </c>
      <c r="F238" s="354">
        <v>198</v>
      </c>
      <c r="G238" s="363" t="s">
        <v>57</v>
      </c>
      <c r="H238" s="64">
        <v>0.19450000000000001</v>
      </c>
      <c r="I238" s="363" t="s">
        <v>270</v>
      </c>
      <c r="J238" s="355">
        <f>H238-L238</f>
        <v>8.9600000000000013E-2</v>
      </c>
      <c r="K238" s="363" t="s">
        <v>271</v>
      </c>
      <c r="L238" s="64">
        <v>0.10489999999999999</v>
      </c>
      <c r="M238" s="363" t="s">
        <v>58</v>
      </c>
      <c r="N238" s="65">
        <v>93</v>
      </c>
      <c r="O238" s="363" t="s">
        <v>60</v>
      </c>
      <c r="P238" s="65">
        <v>93</v>
      </c>
      <c r="Q238" s="363" t="s">
        <v>61</v>
      </c>
      <c r="R238" s="65">
        <v>187</v>
      </c>
      <c r="S238" s="363" t="s">
        <v>62</v>
      </c>
      <c r="T238" s="65">
        <v>29</v>
      </c>
      <c r="U238" s="363" t="s">
        <v>55</v>
      </c>
      <c r="V238" s="66" t="s">
        <v>120</v>
      </c>
      <c r="W238" s="463" t="s">
        <v>394</v>
      </c>
      <c r="X238" s="465">
        <v>1.27</v>
      </c>
      <c r="Y238" s="463" t="s">
        <v>393</v>
      </c>
      <c r="Z238" s="358">
        <v>14</v>
      </c>
    </row>
    <row r="239" spans="1:26" x14ac:dyDescent="0.2">
      <c r="A239" s="362" t="s">
        <v>33</v>
      </c>
      <c r="B239" s="472">
        <v>0</v>
      </c>
      <c r="C239" s="472">
        <v>4.0000000000000001E-3</v>
      </c>
      <c r="D239" s="472">
        <v>2.1999999999999999E-2</v>
      </c>
      <c r="E239" s="472">
        <v>3.9E-2</v>
      </c>
      <c r="F239" s="472">
        <v>0.122</v>
      </c>
      <c r="G239" s="472">
        <v>0.23599999999999999</v>
      </c>
      <c r="H239" s="472">
        <v>0.58899999999999997</v>
      </c>
      <c r="I239" s="472">
        <v>0.80100000000000005</v>
      </c>
      <c r="J239" s="472">
        <v>1.0680000000000001</v>
      </c>
      <c r="K239" s="472">
        <v>1.1180000000000001</v>
      </c>
      <c r="L239" s="472">
        <v>1.145</v>
      </c>
      <c r="M239" s="472">
        <v>1.1739999999999999</v>
      </c>
      <c r="N239" s="472">
        <v>1.2110000000000001</v>
      </c>
      <c r="O239" s="472">
        <v>1.2470000000000001</v>
      </c>
      <c r="P239" s="472">
        <v>1.2989999999999999</v>
      </c>
      <c r="Q239" s="371">
        <v>2</v>
      </c>
      <c r="R239" s="371">
        <v>2</v>
      </c>
      <c r="S239" s="371">
        <f t="shared" ref="S239:X240" si="81">R239</f>
        <v>2</v>
      </c>
      <c r="T239" s="371">
        <f t="shared" si="81"/>
        <v>2</v>
      </c>
      <c r="U239" s="371">
        <f t="shared" si="81"/>
        <v>2</v>
      </c>
      <c r="V239" s="371">
        <f t="shared" si="81"/>
        <v>2</v>
      </c>
      <c r="W239" s="371">
        <f t="shared" si="81"/>
        <v>2</v>
      </c>
      <c r="X239" s="371">
        <f t="shared" si="81"/>
        <v>2</v>
      </c>
      <c r="Y239" s="381">
        <v>1000</v>
      </c>
    </row>
    <row r="240" spans="1:26" x14ac:dyDescent="0.2">
      <c r="A240" s="378" t="s">
        <v>34</v>
      </c>
      <c r="B240" s="472">
        <v>0</v>
      </c>
      <c r="C240" s="472">
        <v>15.683</v>
      </c>
      <c r="D240" s="472">
        <v>170.834</v>
      </c>
      <c r="E240" s="472">
        <v>116.877</v>
      </c>
      <c r="F240" s="472">
        <v>142.642</v>
      </c>
      <c r="G240" s="472">
        <v>149.73699999999999</v>
      </c>
      <c r="H240" s="472">
        <v>142.642</v>
      </c>
      <c r="I240" s="472">
        <v>131.25299999999999</v>
      </c>
      <c r="J240" s="472">
        <v>122.104</v>
      </c>
      <c r="K240" s="472">
        <v>107.91500000000001</v>
      </c>
      <c r="L240" s="472">
        <v>78.415999999999997</v>
      </c>
      <c r="M240" s="472">
        <v>43.128999999999998</v>
      </c>
      <c r="N240" s="472">
        <v>21.471</v>
      </c>
      <c r="O240" s="472">
        <v>8.7750000000000004</v>
      </c>
      <c r="P240" s="472">
        <v>0</v>
      </c>
      <c r="Q240" s="373">
        <v>0</v>
      </c>
      <c r="R240" s="373">
        <v>0</v>
      </c>
      <c r="S240" s="373">
        <f t="shared" si="81"/>
        <v>0</v>
      </c>
      <c r="T240" s="373">
        <f t="shared" si="81"/>
        <v>0</v>
      </c>
      <c r="U240" s="373">
        <f t="shared" si="81"/>
        <v>0</v>
      </c>
      <c r="V240" s="373">
        <f t="shared" si="81"/>
        <v>0</v>
      </c>
      <c r="W240" s="373">
        <f t="shared" si="81"/>
        <v>0</v>
      </c>
      <c r="X240" s="373">
        <f t="shared" si="81"/>
        <v>0</v>
      </c>
      <c r="Y240" s="382">
        <v>0</v>
      </c>
    </row>
    <row r="241" spans="1:26" ht="13.5" thickBot="1" x14ac:dyDescent="0.25">
      <c r="A241" s="379" t="s">
        <v>117</v>
      </c>
      <c r="B241" s="374">
        <f t="shared" ref="B241:X241" si="82">(C240+B240)*(C239-B239)/2</f>
        <v>3.1365999999999998E-2</v>
      </c>
      <c r="C241" s="375">
        <f t="shared" si="82"/>
        <v>1.6786529999999997</v>
      </c>
      <c r="D241" s="375">
        <f t="shared" si="82"/>
        <v>2.4455435000000003</v>
      </c>
      <c r="E241" s="375">
        <f t="shared" si="82"/>
        <v>10.770038499999998</v>
      </c>
      <c r="F241" s="375">
        <f t="shared" si="82"/>
        <v>16.665603000000001</v>
      </c>
      <c r="G241" s="375">
        <f t="shared" si="82"/>
        <v>51.604893500000003</v>
      </c>
      <c r="H241" s="375">
        <f t="shared" si="82"/>
        <v>29.03287000000001</v>
      </c>
      <c r="I241" s="375">
        <f t="shared" si="82"/>
        <v>33.823159499999996</v>
      </c>
      <c r="J241" s="375">
        <f t="shared" si="82"/>
        <v>5.7504750000000051</v>
      </c>
      <c r="K241" s="375">
        <f t="shared" si="82"/>
        <v>2.5154684999999923</v>
      </c>
      <c r="L241" s="375">
        <f t="shared" si="82"/>
        <v>1.7624024999999945</v>
      </c>
      <c r="M241" s="375">
        <f t="shared" si="82"/>
        <v>1.1951000000000045</v>
      </c>
      <c r="N241" s="375">
        <f t="shared" si="82"/>
        <v>0.54442800000000058</v>
      </c>
      <c r="O241" s="375">
        <f t="shared" si="82"/>
        <v>0.22814999999999924</v>
      </c>
      <c r="P241" s="375">
        <f t="shared" si="82"/>
        <v>0</v>
      </c>
      <c r="Q241" s="375">
        <f t="shared" si="82"/>
        <v>0</v>
      </c>
      <c r="R241" s="375">
        <f t="shared" si="82"/>
        <v>0</v>
      </c>
      <c r="S241" s="375">
        <f t="shared" si="82"/>
        <v>0</v>
      </c>
      <c r="T241" s="375">
        <f t="shared" si="82"/>
        <v>0</v>
      </c>
      <c r="U241" s="375">
        <f t="shared" si="82"/>
        <v>0</v>
      </c>
      <c r="V241" s="375">
        <f t="shared" si="82"/>
        <v>0</v>
      </c>
      <c r="W241" s="375">
        <f t="shared" si="82"/>
        <v>0</v>
      </c>
      <c r="X241" s="375">
        <f t="shared" si="82"/>
        <v>0</v>
      </c>
      <c r="Y241" s="369"/>
    </row>
    <row r="242" spans="1:26" ht="13.5" thickBot="1" x14ac:dyDescent="0.25">
      <c r="A242" s="6" t="s">
        <v>374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6" ht="13.5" thickBot="1" x14ac:dyDescent="0.25">
      <c r="A243" s="361" t="s">
        <v>379</v>
      </c>
      <c r="B243" s="359">
        <f>ROW(A243)</f>
        <v>243</v>
      </c>
      <c r="C243" s="363" t="s">
        <v>116</v>
      </c>
      <c r="D243" s="353">
        <f>SUM(B246:Y246)</f>
        <v>136.75235000000001</v>
      </c>
      <c r="E243" s="363" t="s">
        <v>115</v>
      </c>
      <c r="F243" s="354">
        <f>D243/g/J243</f>
        <v>152.35078513616639</v>
      </c>
      <c r="G243" s="363" t="s">
        <v>57</v>
      </c>
      <c r="H243" s="64">
        <v>0.21249999999999999</v>
      </c>
      <c r="I243" s="363" t="s">
        <v>270</v>
      </c>
      <c r="J243" s="355">
        <f>H243-L243</f>
        <v>9.1499999999999998E-2</v>
      </c>
      <c r="K243" s="363" t="s">
        <v>271</v>
      </c>
      <c r="L243" s="64">
        <v>0.121</v>
      </c>
      <c r="M243" s="363" t="s">
        <v>58</v>
      </c>
      <c r="N243" s="65">
        <v>63</v>
      </c>
      <c r="O243" s="363" t="s">
        <v>60</v>
      </c>
      <c r="P243" s="65">
        <v>114</v>
      </c>
      <c r="Q243" s="363" t="s">
        <v>61</v>
      </c>
      <c r="R243" s="65">
        <v>127</v>
      </c>
      <c r="S243" s="363" t="s">
        <v>62</v>
      </c>
      <c r="T243" s="65">
        <v>38</v>
      </c>
      <c r="U243" s="363" t="s">
        <v>55</v>
      </c>
      <c r="V243" s="66" t="s">
        <v>120</v>
      </c>
      <c r="W243" s="463" t="s">
        <v>394</v>
      </c>
      <c r="X243" s="465">
        <v>2.36</v>
      </c>
      <c r="Y243" s="463" t="s">
        <v>393</v>
      </c>
      <c r="Z243" s="358">
        <v>13</v>
      </c>
    </row>
    <row r="244" spans="1:26" x14ac:dyDescent="0.2">
      <c r="A244" s="362" t="s">
        <v>33</v>
      </c>
      <c r="B244" s="370">
        <v>0</v>
      </c>
      <c r="C244" s="371">
        <v>2.9000000000000001E-2</v>
      </c>
      <c r="D244" s="371">
        <v>4.5999999999999999E-2</v>
      </c>
      <c r="E244" s="371">
        <v>5.8000000000000003E-2</v>
      </c>
      <c r="F244" s="371">
        <v>8.4000000000000005E-2</v>
      </c>
      <c r="G244" s="371">
        <v>0.17100000000000001</v>
      </c>
      <c r="H244" s="371">
        <v>0.28000000000000003</v>
      </c>
      <c r="I244" s="371">
        <v>0.45500000000000002</v>
      </c>
      <c r="J244" s="371">
        <v>0.58599999999999997</v>
      </c>
      <c r="K244" s="371">
        <v>0.74099999999999999</v>
      </c>
      <c r="L244" s="371">
        <v>0.95199999999999996</v>
      </c>
      <c r="M244" s="371">
        <v>1.2170000000000001</v>
      </c>
      <c r="N244" s="371">
        <v>1.43</v>
      </c>
      <c r="O244" s="371">
        <v>1.6259999999999999</v>
      </c>
      <c r="P244" s="371">
        <v>1.8069999999999999</v>
      </c>
      <c r="Q244" s="371">
        <v>1.9590000000000001</v>
      </c>
      <c r="R244" s="371">
        <v>2.1040000000000001</v>
      </c>
      <c r="S244" s="371">
        <v>2.1680000000000001</v>
      </c>
      <c r="T244" s="371">
        <v>2.21</v>
      </c>
      <c r="U244" s="371">
        <v>2.2469999999999999</v>
      </c>
      <c r="V244" s="371">
        <v>2.3290000000000002</v>
      </c>
      <c r="W244" s="371">
        <f>2.4</f>
        <v>2.4</v>
      </c>
      <c r="X244" s="371">
        <f>W244</f>
        <v>2.4</v>
      </c>
      <c r="Y244" s="381">
        <v>1000</v>
      </c>
    </row>
    <row r="245" spans="1:26" x14ac:dyDescent="0.2">
      <c r="A245" s="378" t="s">
        <v>34</v>
      </c>
      <c r="B245" s="372">
        <v>0</v>
      </c>
      <c r="C245" s="373">
        <v>90.25</v>
      </c>
      <c r="D245" s="373">
        <v>69.17</v>
      </c>
      <c r="E245" s="373">
        <v>59.947000000000003</v>
      </c>
      <c r="F245" s="373">
        <v>47.167000000000002</v>
      </c>
      <c r="G245" s="373">
        <v>57.970999999999997</v>
      </c>
      <c r="H245" s="373">
        <v>59.552</v>
      </c>
      <c r="I245" s="373">
        <v>61.265000000000001</v>
      </c>
      <c r="J245" s="373">
        <v>61.66</v>
      </c>
      <c r="K245" s="373">
        <v>62.319000000000003</v>
      </c>
      <c r="L245" s="373">
        <v>63.768000000000001</v>
      </c>
      <c r="M245" s="373">
        <v>64.69</v>
      </c>
      <c r="N245" s="373">
        <v>63.768000000000001</v>
      </c>
      <c r="O245" s="373">
        <v>61.265000000000001</v>
      </c>
      <c r="P245" s="373">
        <v>58.103000000000002</v>
      </c>
      <c r="Q245" s="373">
        <v>53.887</v>
      </c>
      <c r="R245" s="373">
        <v>48.353000000000002</v>
      </c>
      <c r="S245" s="373">
        <v>47.563000000000002</v>
      </c>
      <c r="T245" s="373">
        <v>44.005000000000003</v>
      </c>
      <c r="U245" s="373">
        <v>37.286000000000001</v>
      </c>
      <c r="V245" s="373">
        <v>22.265999999999998</v>
      </c>
      <c r="W245" s="373">
        <v>0</v>
      </c>
      <c r="X245" s="373">
        <f>W245</f>
        <v>0</v>
      </c>
      <c r="Y245" s="382">
        <v>0</v>
      </c>
    </row>
    <row r="246" spans="1:26" ht="13.5" thickBot="1" x14ac:dyDescent="0.25">
      <c r="A246" s="379" t="s">
        <v>117</v>
      </c>
      <c r="B246" s="374">
        <f t="shared" ref="B246:X246" si="83">(C245+B245)*(C244-B244)/2</f>
        <v>1.3086250000000001</v>
      </c>
      <c r="C246" s="375">
        <f t="shared" si="83"/>
        <v>1.35507</v>
      </c>
      <c r="D246" s="375">
        <f t="shared" si="83"/>
        <v>0.77470200000000033</v>
      </c>
      <c r="E246" s="375">
        <f t="shared" si="83"/>
        <v>1.3924820000000002</v>
      </c>
      <c r="F246" s="375">
        <f t="shared" si="83"/>
        <v>4.5735030000000005</v>
      </c>
      <c r="G246" s="375">
        <f t="shared" si="83"/>
        <v>6.4050035000000003</v>
      </c>
      <c r="H246" s="375">
        <f t="shared" si="83"/>
        <v>10.5714875</v>
      </c>
      <c r="I246" s="375">
        <f t="shared" si="83"/>
        <v>8.0515874999999966</v>
      </c>
      <c r="J246" s="375">
        <f t="shared" si="83"/>
        <v>9.6083725000000015</v>
      </c>
      <c r="K246" s="375">
        <f t="shared" si="83"/>
        <v>13.302178499999998</v>
      </c>
      <c r="L246" s="375">
        <f t="shared" si="83"/>
        <v>17.020685000000007</v>
      </c>
      <c r="M246" s="375">
        <f t="shared" si="83"/>
        <v>13.68077699999999</v>
      </c>
      <c r="N246" s="375">
        <f t="shared" si="83"/>
        <v>12.253233999999997</v>
      </c>
      <c r="O246" s="375">
        <f t="shared" si="83"/>
        <v>10.802804000000002</v>
      </c>
      <c r="P246" s="375">
        <f t="shared" si="83"/>
        <v>8.5112400000000079</v>
      </c>
      <c r="Q246" s="375">
        <f t="shared" si="83"/>
        <v>7.4124000000000017</v>
      </c>
      <c r="R246" s="375">
        <f t="shared" si="83"/>
        <v>3.0693120000000027</v>
      </c>
      <c r="S246" s="375">
        <f t="shared" si="83"/>
        <v>1.9229279999999918</v>
      </c>
      <c r="T246" s="375">
        <f t="shared" si="83"/>
        <v>1.5038834999999968</v>
      </c>
      <c r="U246" s="375">
        <f t="shared" si="83"/>
        <v>2.4416320000000087</v>
      </c>
      <c r="V246" s="375">
        <f t="shared" si="83"/>
        <v>0.7904429999999969</v>
      </c>
      <c r="W246" s="375">
        <f t="shared" si="83"/>
        <v>0</v>
      </c>
      <c r="X246" s="375">
        <f t="shared" si="83"/>
        <v>0</v>
      </c>
      <c r="Y246" s="369"/>
    </row>
    <row r="247" spans="1:26" ht="13.5" thickBo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6" ht="13.5" thickBot="1" x14ac:dyDescent="0.25">
      <c r="A248" s="361" t="s">
        <v>380</v>
      </c>
      <c r="B248" s="359">
        <f>ROW(A248)</f>
        <v>248</v>
      </c>
      <c r="C248" s="363" t="s">
        <v>116</v>
      </c>
      <c r="D248" s="353">
        <f>SUM(B251:Y251)</f>
        <v>127.06944999999999</v>
      </c>
      <c r="E248" s="363" t="s">
        <v>115</v>
      </c>
      <c r="F248" s="354">
        <f>D248/g/J248</f>
        <v>180.65624835614466</v>
      </c>
      <c r="G248" s="363" t="s">
        <v>57</v>
      </c>
      <c r="H248" s="64">
        <v>0.18840000000000001</v>
      </c>
      <c r="I248" s="363" t="s">
        <v>270</v>
      </c>
      <c r="J248" s="355">
        <f>H248-L248</f>
        <v>7.1700000000000014E-2</v>
      </c>
      <c r="K248" s="363" t="s">
        <v>271</v>
      </c>
      <c r="L248" s="64">
        <v>0.1167</v>
      </c>
      <c r="M248" s="363" t="s">
        <v>58</v>
      </c>
      <c r="N248" s="65">
        <v>63</v>
      </c>
      <c r="O248" s="363" t="s">
        <v>60</v>
      </c>
      <c r="P248" s="65">
        <v>114</v>
      </c>
      <c r="Q248" s="363" t="s">
        <v>61</v>
      </c>
      <c r="R248" s="65">
        <v>127</v>
      </c>
      <c r="S248" s="363" t="s">
        <v>62</v>
      </c>
      <c r="T248" s="65">
        <v>38</v>
      </c>
      <c r="U248" s="363" t="s">
        <v>55</v>
      </c>
      <c r="V248" s="66" t="s">
        <v>120</v>
      </c>
      <c r="W248" s="463" t="s">
        <v>394</v>
      </c>
      <c r="X248" s="465">
        <v>0.69</v>
      </c>
      <c r="Y248" s="463" t="s">
        <v>393</v>
      </c>
      <c r="Z248" s="358">
        <v>12</v>
      </c>
    </row>
    <row r="249" spans="1:26" x14ac:dyDescent="0.2">
      <c r="A249" s="362" t="s">
        <v>33</v>
      </c>
      <c r="B249" s="370">
        <v>0</v>
      </c>
      <c r="C249" s="371">
        <v>0.01</v>
      </c>
      <c r="D249" s="371">
        <v>0.02</v>
      </c>
      <c r="E249" s="371">
        <v>0.05</v>
      </c>
      <c r="F249" s="371">
        <v>0.1</v>
      </c>
      <c r="G249" s="371">
        <v>0.2</v>
      </c>
      <c r="H249" s="371">
        <v>0.3</v>
      </c>
      <c r="I249" s="371">
        <v>0.35</v>
      </c>
      <c r="J249" s="371">
        <v>0.4</v>
      </c>
      <c r="K249" s="371">
        <v>0.45</v>
      </c>
      <c r="L249" s="371">
        <v>0.5</v>
      </c>
      <c r="M249" s="371">
        <v>0.55000000000000004</v>
      </c>
      <c r="N249" s="371">
        <v>0.6</v>
      </c>
      <c r="O249" s="371">
        <v>0.61</v>
      </c>
      <c r="P249" s="371">
        <v>0.63</v>
      </c>
      <c r="Q249" s="371">
        <v>0.64</v>
      </c>
      <c r="R249" s="371">
        <v>0.65</v>
      </c>
      <c r="S249" s="371">
        <v>0.67</v>
      </c>
      <c r="T249" s="371">
        <v>0.68</v>
      </c>
      <c r="U249" s="371">
        <v>0.69</v>
      </c>
      <c r="V249" s="371">
        <f t="shared" ref="V249:X250" si="84">U249</f>
        <v>0.69</v>
      </c>
      <c r="W249" s="371">
        <f t="shared" si="84"/>
        <v>0.69</v>
      </c>
      <c r="X249" s="371">
        <v>2</v>
      </c>
      <c r="Y249" s="381">
        <v>1000</v>
      </c>
    </row>
    <row r="250" spans="1:26" x14ac:dyDescent="0.2">
      <c r="A250" s="378" t="s">
        <v>34</v>
      </c>
      <c r="B250" s="372">
        <v>0</v>
      </c>
      <c r="C250" s="373">
        <v>108.72</v>
      </c>
      <c r="D250" s="373">
        <v>131.19</v>
      </c>
      <c r="E250" s="373">
        <v>153.13999999999999</v>
      </c>
      <c r="F250" s="373">
        <v>168.97</v>
      </c>
      <c r="G250" s="373">
        <v>189.92</v>
      </c>
      <c r="H250" s="373">
        <v>199.95</v>
      </c>
      <c r="I250" s="373">
        <v>203.59</v>
      </c>
      <c r="J250" s="373">
        <v>205.03</v>
      </c>
      <c r="K250" s="373">
        <v>202.6</v>
      </c>
      <c r="L250" s="373">
        <v>203.06</v>
      </c>
      <c r="M250" s="373">
        <v>199.34</v>
      </c>
      <c r="N250" s="373">
        <v>194.71</v>
      </c>
      <c r="O250" s="373">
        <v>194.1</v>
      </c>
      <c r="P250" s="373">
        <v>193.49</v>
      </c>
      <c r="Q250" s="373">
        <v>193.68</v>
      </c>
      <c r="R250" s="373">
        <v>202.91</v>
      </c>
      <c r="S250" s="373">
        <v>163.38999999999999</v>
      </c>
      <c r="T250" s="373">
        <v>80.44</v>
      </c>
      <c r="U250" s="373">
        <v>0</v>
      </c>
      <c r="V250" s="373">
        <f t="shared" si="84"/>
        <v>0</v>
      </c>
      <c r="W250" s="373">
        <f t="shared" si="84"/>
        <v>0</v>
      </c>
      <c r="X250" s="373">
        <f t="shared" si="84"/>
        <v>0</v>
      </c>
      <c r="Y250" s="382">
        <v>0</v>
      </c>
    </row>
    <row r="251" spans="1:26" ht="13.5" thickBot="1" x14ac:dyDescent="0.25">
      <c r="A251" s="379" t="s">
        <v>117</v>
      </c>
      <c r="B251" s="374">
        <f t="shared" ref="B251:X251" si="85">(C250+B250)*(C249-B249)/2</f>
        <v>0.54359999999999997</v>
      </c>
      <c r="C251" s="375">
        <f t="shared" si="85"/>
        <v>1.1995500000000001</v>
      </c>
      <c r="D251" s="375">
        <f t="shared" si="85"/>
        <v>4.2649499999999998</v>
      </c>
      <c r="E251" s="375">
        <f t="shared" si="85"/>
        <v>8.0527500000000014</v>
      </c>
      <c r="F251" s="375">
        <f t="shared" si="85"/>
        <v>17.944500000000001</v>
      </c>
      <c r="G251" s="375">
        <f t="shared" si="85"/>
        <v>19.493499999999997</v>
      </c>
      <c r="H251" s="375">
        <f t="shared" si="85"/>
        <v>10.088499999999996</v>
      </c>
      <c r="I251" s="375">
        <f t="shared" si="85"/>
        <v>10.215500000000009</v>
      </c>
      <c r="J251" s="375">
        <f t="shared" si="85"/>
        <v>10.190749999999998</v>
      </c>
      <c r="K251" s="375">
        <f t="shared" si="85"/>
        <v>10.141499999999997</v>
      </c>
      <c r="L251" s="375">
        <f t="shared" si="85"/>
        <v>10.060000000000008</v>
      </c>
      <c r="M251" s="375">
        <f t="shared" si="85"/>
        <v>9.8512499999999878</v>
      </c>
      <c r="N251" s="375">
        <f t="shared" si="85"/>
        <v>1.9440500000000018</v>
      </c>
      <c r="O251" s="375">
        <f t="shared" si="85"/>
        <v>3.8759000000000037</v>
      </c>
      <c r="P251" s="375">
        <f t="shared" si="85"/>
        <v>1.9358500000000018</v>
      </c>
      <c r="Q251" s="375">
        <f t="shared" si="85"/>
        <v>1.982950000000002</v>
      </c>
      <c r="R251" s="375">
        <f t="shared" si="85"/>
        <v>3.6630000000000029</v>
      </c>
      <c r="S251" s="375">
        <f t="shared" si="85"/>
        <v>1.2191500000000011</v>
      </c>
      <c r="T251" s="375">
        <f t="shared" si="85"/>
        <v>0.40219999999999589</v>
      </c>
      <c r="U251" s="375">
        <f t="shared" si="85"/>
        <v>0</v>
      </c>
      <c r="V251" s="375">
        <f t="shared" si="85"/>
        <v>0</v>
      </c>
      <c r="W251" s="375">
        <f t="shared" si="85"/>
        <v>0</v>
      </c>
      <c r="X251" s="375">
        <f t="shared" si="85"/>
        <v>0</v>
      </c>
      <c r="Y251" s="369"/>
    </row>
    <row r="252" spans="1:26" ht="13.5" thickBo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6" ht="13.5" thickBot="1" x14ac:dyDescent="0.25">
      <c r="A253" s="361" t="s">
        <v>388</v>
      </c>
      <c r="B253" s="359">
        <f>ROW(A253)</f>
        <v>253</v>
      </c>
      <c r="C253" s="363" t="s">
        <v>116</v>
      </c>
      <c r="D253" s="353">
        <f>SUM(B256:Y256)</f>
        <v>142.7236025</v>
      </c>
      <c r="E253" s="363" t="s">
        <v>115</v>
      </c>
      <c r="F253" s="354">
        <v>208</v>
      </c>
      <c r="G253" s="363" t="s">
        <v>57</v>
      </c>
      <c r="H253" s="64">
        <v>0.19700000000000001</v>
      </c>
      <c r="I253" s="363" t="s">
        <v>270</v>
      </c>
      <c r="J253" s="355">
        <f>H253-L253</f>
        <v>7.0000000000000007E-2</v>
      </c>
      <c r="K253" s="363" t="s">
        <v>271</v>
      </c>
      <c r="L253" s="64">
        <v>0.127</v>
      </c>
      <c r="M253" s="363" t="s">
        <v>58</v>
      </c>
      <c r="N253" s="65">
        <v>63</v>
      </c>
      <c r="O253" s="363" t="s">
        <v>60</v>
      </c>
      <c r="P253" s="65">
        <v>114</v>
      </c>
      <c r="Q253" s="363" t="s">
        <v>61</v>
      </c>
      <c r="R253" s="65">
        <v>127</v>
      </c>
      <c r="S253" s="363" t="s">
        <v>62</v>
      </c>
      <c r="T253" s="65">
        <v>38</v>
      </c>
      <c r="U253" s="363" t="s">
        <v>55</v>
      </c>
      <c r="V253" s="66" t="s">
        <v>120</v>
      </c>
      <c r="W253" s="463" t="s">
        <v>394</v>
      </c>
      <c r="X253" s="465">
        <v>1.8</v>
      </c>
      <c r="Y253" s="463" t="s">
        <v>393</v>
      </c>
      <c r="Z253" s="358">
        <v>15</v>
      </c>
    </row>
    <row r="254" spans="1:26" x14ac:dyDescent="0.2">
      <c r="A254" s="362" t="s">
        <v>33</v>
      </c>
      <c r="B254" s="370">
        <v>0</v>
      </c>
      <c r="C254" s="370">
        <v>6.0000000000000001E-3</v>
      </c>
      <c r="D254" s="371">
        <v>1.7999999999999999E-2</v>
      </c>
      <c r="E254" s="371">
        <v>3.5999999999999997E-2</v>
      </c>
      <c r="F254" s="371">
        <v>4.7E-2</v>
      </c>
      <c r="G254" s="371">
        <v>8.4000000000000005E-2</v>
      </c>
      <c r="H254" s="371">
        <v>0.13500000000000001</v>
      </c>
      <c r="I254" s="371">
        <v>0.23799999999999999</v>
      </c>
      <c r="J254" s="371">
        <v>0.438</v>
      </c>
      <c r="K254" s="371">
        <v>0.63</v>
      </c>
      <c r="L254" s="371">
        <v>0.85899999999999999</v>
      </c>
      <c r="M254" s="371">
        <v>1.2829999999999999</v>
      </c>
      <c r="N254" s="371">
        <v>1.4470000000000001</v>
      </c>
      <c r="O254" s="371">
        <v>1.643</v>
      </c>
      <c r="P254" s="371">
        <v>1.7130000000000001</v>
      </c>
      <c r="Q254" s="371">
        <v>1.7430000000000001</v>
      </c>
      <c r="R254" s="371">
        <v>1.79</v>
      </c>
      <c r="S254" s="371">
        <v>1.8180000000000001</v>
      </c>
      <c r="T254" s="371">
        <v>1.8520000000000001</v>
      </c>
      <c r="U254" s="371">
        <v>2</v>
      </c>
      <c r="V254" s="371">
        <f t="shared" ref="V254:X255" si="86">U254</f>
        <v>2</v>
      </c>
      <c r="W254" s="371">
        <f t="shared" si="86"/>
        <v>2</v>
      </c>
      <c r="X254" s="371">
        <f t="shared" si="86"/>
        <v>2</v>
      </c>
      <c r="Y254" s="381">
        <v>1000</v>
      </c>
    </row>
    <row r="255" spans="1:26" x14ac:dyDescent="0.2">
      <c r="A255" s="378" t="s">
        <v>34</v>
      </c>
      <c r="B255" s="372">
        <v>0</v>
      </c>
      <c r="C255" s="372">
        <v>104.068</v>
      </c>
      <c r="D255" s="373">
        <v>137.928</v>
      </c>
      <c r="E255" s="373">
        <v>70.706999999999994</v>
      </c>
      <c r="F255" s="373">
        <v>62.241999999999997</v>
      </c>
      <c r="G255" s="373">
        <v>73.694000000000003</v>
      </c>
      <c r="H255" s="373">
        <v>78.176000000000002</v>
      </c>
      <c r="I255" s="373">
        <v>84.150999999999996</v>
      </c>
      <c r="J255" s="373">
        <v>89.628</v>
      </c>
      <c r="K255" s="373">
        <v>88.135000000000005</v>
      </c>
      <c r="L255" s="373">
        <v>87.138999999999996</v>
      </c>
      <c r="M255" s="373">
        <v>77.180000000000007</v>
      </c>
      <c r="N255" s="373">
        <v>70.706999999999994</v>
      </c>
      <c r="O255" s="373">
        <v>67.718999999999994</v>
      </c>
      <c r="P255" s="373">
        <v>64.233999999999995</v>
      </c>
      <c r="Q255" s="373">
        <v>54.274999999999999</v>
      </c>
      <c r="R255" s="373">
        <v>18.423999999999999</v>
      </c>
      <c r="S255" s="373">
        <v>6.4729999999999999</v>
      </c>
      <c r="T255" s="373">
        <v>0</v>
      </c>
      <c r="U255" s="373">
        <v>0</v>
      </c>
      <c r="V255" s="373">
        <f t="shared" si="86"/>
        <v>0</v>
      </c>
      <c r="W255" s="373">
        <f t="shared" si="86"/>
        <v>0</v>
      </c>
      <c r="X255" s="373">
        <f t="shared" si="86"/>
        <v>0</v>
      </c>
      <c r="Y255" s="382">
        <v>0</v>
      </c>
    </row>
    <row r="256" spans="1:26" ht="13.5" thickBot="1" x14ac:dyDescent="0.25">
      <c r="A256" s="379" t="s">
        <v>117</v>
      </c>
      <c r="B256" s="374">
        <f t="shared" ref="B256:X256" si="87">(C255+B255)*(C254-B254)/2</f>
        <v>0.31220399999999998</v>
      </c>
      <c r="C256" s="375">
        <f t="shared" si="87"/>
        <v>1.4519759999999997</v>
      </c>
      <c r="D256" s="375">
        <f t="shared" si="87"/>
        <v>1.8777149999999998</v>
      </c>
      <c r="E256" s="375">
        <f t="shared" si="87"/>
        <v>0.73121950000000013</v>
      </c>
      <c r="F256" s="375">
        <f t="shared" si="87"/>
        <v>2.5148160000000006</v>
      </c>
      <c r="G256" s="375">
        <f t="shared" si="87"/>
        <v>3.8726850000000006</v>
      </c>
      <c r="H256" s="375">
        <f t="shared" si="87"/>
        <v>8.3598404999999989</v>
      </c>
      <c r="I256" s="375">
        <f t="shared" si="87"/>
        <v>17.3779</v>
      </c>
      <c r="J256" s="375">
        <f t="shared" si="87"/>
        <v>17.065248</v>
      </c>
      <c r="K256" s="375">
        <f t="shared" si="87"/>
        <v>20.068873</v>
      </c>
      <c r="L256" s="375">
        <f t="shared" si="87"/>
        <v>34.835628</v>
      </c>
      <c r="M256" s="375">
        <f t="shared" si="87"/>
        <v>12.126734000000011</v>
      </c>
      <c r="N256" s="375">
        <f t="shared" si="87"/>
        <v>13.565747999999996</v>
      </c>
      <c r="O256" s="375">
        <f t="shared" si="87"/>
        <v>4.6183550000000029</v>
      </c>
      <c r="P256" s="375">
        <f t="shared" si="87"/>
        <v>1.7776350000000014</v>
      </c>
      <c r="Q256" s="375">
        <f t="shared" si="87"/>
        <v>1.7084264999999974</v>
      </c>
      <c r="R256" s="375">
        <f t="shared" si="87"/>
        <v>0.34855800000000031</v>
      </c>
      <c r="S256" s="375">
        <f t="shared" si="87"/>
        <v>0.1100410000000001</v>
      </c>
      <c r="T256" s="375">
        <f t="shared" si="87"/>
        <v>0</v>
      </c>
      <c r="U256" s="375">
        <f t="shared" si="87"/>
        <v>0</v>
      </c>
      <c r="V256" s="375">
        <f t="shared" si="87"/>
        <v>0</v>
      </c>
      <c r="W256" s="375">
        <f t="shared" si="87"/>
        <v>0</v>
      </c>
      <c r="X256" s="375">
        <f t="shared" si="87"/>
        <v>0</v>
      </c>
      <c r="Y256" s="369"/>
    </row>
    <row r="257" spans="1:25" ht="13.5" thickBo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3.5" thickBot="1" x14ac:dyDescent="0.25">
      <c r="A258" s="361" t="s">
        <v>273</v>
      </c>
      <c r="B258" s="360">
        <f>ROW(A258)</f>
        <v>258</v>
      </c>
      <c r="C258" s="363" t="s">
        <v>116</v>
      </c>
      <c r="D258" s="353">
        <f>SUM(B261:Y261)</f>
        <v>33.500000000000007</v>
      </c>
      <c r="E258" s="363" t="s">
        <v>115</v>
      </c>
      <c r="F258" s="354">
        <f>D258/g/J258</f>
        <v>68.297655453618759</v>
      </c>
      <c r="G258" s="363" t="s">
        <v>57</v>
      </c>
      <c r="H258" s="64">
        <v>8.5000000000000006E-2</v>
      </c>
      <c r="I258" s="363" t="s">
        <v>270</v>
      </c>
      <c r="J258" s="355">
        <f>H258-L258</f>
        <v>0.05</v>
      </c>
      <c r="K258" s="363" t="s">
        <v>271</v>
      </c>
      <c r="L258" s="64">
        <v>3.5000000000000003E-2</v>
      </c>
      <c r="M258" s="363" t="s">
        <v>58</v>
      </c>
      <c r="N258" s="65">
        <v>20</v>
      </c>
      <c r="O258" s="363" t="s">
        <v>60</v>
      </c>
      <c r="P258" s="65">
        <v>20</v>
      </c>
      <c r="Q258" s="363" t="s">
        <v>61</v>
      </c>
      <c r="R258" s="65">
        <v>39</v>
      </c>
      <c r="S258" s="363" t="s">
        <v>62</v>
      </c>
      <c r="T258" s="65">
        <v>39</v>
      </c>
      <c r="U258" s="363" t="s">
        <v>55</v>
      </c>
      <c r="V258" s="66" t="s">
        <v>401</v>
      </c>
      <c r="W258" s="12"/>
      <c r="X258" s="12"/>
      <c r="Y258" s="12"/>
    </row>
    <row r="259" spans="1:25" x14ac:dyDescent="0.2">
      <c r="A259" s="362" t="s">
        <v>33</v>
      </c>
      <c r="B259" s="370">
        <v>0</v>
      </c>
      <c r="C259" s="371">
        <v>0.05</v>
      </c>
      <c r="D259" s="371">
        <v>0.1</v>
      </c>
      <c r="E259" s="371">
        <v>0.25</v>
      </c>
      <c r="F259" s="371">
        <v>0.3</v>
      </c>
      <c r="G259" s="371">
        <v>0.35</v>
      </c>
      <c r="H259" s="371">
        <v>0.45</v>
      </c>
      <c r="I259" s="371">
        <v>0.55000000000000004</v>
      </c>
      <c r="J259" s="371">
        <v>3.5</v>
      </c>
      <c r="K259" s="371">
        <v>3.6</v>
      </c>
      <c r="L259" s="371">
        <v>3.6</v>
      </c>
      <c r="M259" s="371">
        <v>3.6</v>
      </c>
      <c r="N259" s="371">
        <v>3.6</v>
      </c>
      <c r="O259" s="371">
        <v>3.6</v>
      </c>
      <c r="P259" s="371">
        <v>3.6</v>
      </c>
      <c r="Q259" s="371">
        <v>3.6</v>
      </c>
      <c r="R259" s="371">
        <v>3.6</v>
      </c>
      <c r="S259" s="371">
        <v>3.6</v>
      </c>
      <c r="T259" s="371">
        <v>3.6</v>
      </c>
      <c r="U259" s="371">
        <v>3.6</v>
      </c>
      <c r="V259" s="371">
        <v>3.6</v>
      </c>
      <c r="W259" s="371">
        <v>3.6</v>
      </c>
      <c r="X259" s="371">
        <v>3.6</v>
      </c>
      <c r="Y259" s="381">
        <v>1000</v>
      </c>
    </row>
    <row r="260" spans="1:25" x14ac:dyDescent="0.2">
      <c r="A260" s="378" t="s">
        <v>34</v>
      </c>
      <c r="B260" s="372">
        <v>0</v>
      </c>
      <c r="C260" s="373">
        <v>68</v>
      </c>
      <c r="D260" s="373">
        <v>62</v>
      </c>
      <c r="E260" s="373">
        <v>60</v>
      </c>
      <c r="F260" s="373">
        <v>39</v>
      </c>
      <c r="G260" s="373">
        <v>38</v>
      </c>
      <c r="H260" s="373">
        <v>9</v>
      </c>
      <c r="I260" s="373">
        <v>5</v>
      </c>
      <c r="J260" s="373">
        <v>3</v>
      </c>
      <c r="K260" s="373">
        <v>0</v>
      </c>
      <c r="L260" s="373">
        <v>0</v>
      </c>
      <c r="M260" s="373">
        <v>0</v>
      </c>
      <c r="N260" s="373">
        <v>0</v>
      </c>
      <c r="O260" s="373">
        <v>0</v>
      </c>
      <c r="P260" s="373">
        <v>0</v>
      </c>
      <c r="Q260" s="373">
        <v>0</v>
      </c>
      <c r="R260" s="373">
        <v>0</v>
      </c>
      <c r="S260" s="373">
        <v>0</v>
      </c>
      <c r="T260" s="373">
        <v>0</v>
      </c>
      <c r="U260" s="373">
        <v>0</v>
      </c>
      <c r="V260" s="373">
        <v>0</v>
      </c>
      <c r="W260" s="373">
        <v>0</v>
      </c>
      <c r="X260" s="373">
        <v>0</v>
      </c>
      <c r="Y260" s="382">
        <v>0</v>
      </c>
    </row>
    <row r="261" spans="1:25" ht="13.5" thickBot="1" x14ac:dyDescent="0.25">
      <c r="A261" s="379" t="s">
        <v>117</v>
      </c>
      <c r="B261" s="374">
        <f t="shared" ref="B261:V261" si="88">(C260+B260)*(C259-B259)/2</f>
        <v>1.7000000000000002</v>
      </c>
      <c r="C261" s="375">
        <f t="shared" si="88"/>
        <v>3.25</v>
      </c>
      <c r="D261" s="375">
        <f t="shared" si="88"/>
        <v>9.15</v>
      </c>
      <c r="E261" s="375">
        <f t="shared" si="88"/>
        <v>2.4749999999999996</v>
      </c>
      <c r="F261" s="375">
        <f t="shared" si="88"/>
        <v>1.9249999999999996</v>
      </c>
      <c r="G261" s="375">
        <f t="shared" si="88"/>
        <v>2.350000000000001</v>
      </c>
      <c r="H261" s="375">
        <f t="shared" si="88"/>
        <v>0.70000000000000018</v>
      </c>
      <c r="I261" s="375">
        <f t="shared" si="88"/>
        <v>11.8</v>
      </c>
      <c r="J261" s="375">
        <f t="shared" si="88"/>
        <v>0.15000000000000013</v>
      </c>
      <c r="K261" s="375">
        <f t="shared" si="88"/>
        <v>0</v>
      </c>
      <c r="L261" s="375">
        <f t="shared" si="88"/>
        <v>0</v>
      </c>
      <c r="M261" s="375">
        <f t="shared" si="88"/>
        <v>0</v>
      </c>
      <c r="N261" s="375">
        <f t="shared" si="88"/>
        <v>0</v>
      </c>
      <c r="O261" s="375">
        <f t="shared" si="88"/>
        <v>0</v>
      </c>
      <c r="P261" s="375">
        <f t="shared" si="88"/>
        <v>0</v>
      </c>
      <c r="Q261" s="375">
        <f t="shared" si="88"/>
        <v>0</v>
      </c>
      <c r="R261" s="375">
        <f t="shared" si="88"/>
        <v>0</v>
      </c>
      <c r="S261" s="375">
        <f t="shared" si="88"/>
        <v>0</v>
      </c>
      <c r="T261" s="375">
        <f t="shared" si="88"/>
        <v>0</v>
      </c>
      <c r="U261" s="375">
        <f t="shared" si="88"/>
        <v>0</v>
      </c>
      <c r="V261" s="375">
        <f t="shared" si="88"/>
        <v>0</v>
      </c>
      <c r="W261" s="375">
        <f>(X260+W260)*(X259-W259)/2</f>
        <v>0</v>
      </c>
      <c r="X261" s="375">
        <f>(Y260+X260)*(Y259-X259)/2</f>
        <v>0</v>
      </c>
      <c r="Y261" s="369"/>
    </row>
    <row r="262" spans="1:25" ht="13.5" thickBot="1" x14ac:dyDescent="0.2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5" thickBot="1" x14ac:dyDescent="0.25">
      <c r="A263" s="361" t="s">
        <v>274</v>
      </c>
      <c r="B263" s="359">
        <f>ROW(A263)</f>
        <v>263</v>
      </c>
      <c r="C263" s="363" t="s">
        <v>116</v>
      </c>
      <c r="D263" s="353">
        <f>SUM(B266:Y266)</f>
        <v>145.46</v>
      </c>
      <c r="E263" s="363" t="s">
        <v>115</v>
      </c>
      <c r="F263" s="354">
        <f>D263/g/J263</f>
        <v>211.82466870540264</v>
      </c>
      <c r="G263" s="363" t="s">
        <v>57</v>
      </c>
      <c r="H263" s="64">
        <v>0.22</v>
      </c>
      <c r="I263" s="363" t="s">
        <v>270</v>
      </c>
      <c r="J263" s="355">
        <f>H263-L263</f>
        <v>7.0000000000000007E-2</v>
      </c>
      <c r="K263" s="363" t="s">
        <v>271</v>
      </c>
      <c r="L263" s="64">
        <v>0.15</v>
      </c>
      <c r="M263" s="363" t="s">
        <v>58</v>
      </c>
      <c r="N263" s="65">
        <v>50</v>
      </c>
      <c r="O263" s="363" t="s">
        <v>60</v>
      </c>
      <c r="P263" s="65">
        <v>55</v>
      </c>
      <c r="Q263" s="363" t="s">
        <v>61</v>
      </c>
      <c r="R263" s="65">
        <v>76</v>
      </c>
      <c r="S263" s="363" t="s">
        <v>62</v>
      </c>
      <c r="T263" s="65">
        <v>40</v>
      </c>
      <c r="U263" s="363" t="s">
        <v>55</v>
      </c>
      <c r="V263" s="66" t="s">
        <v>401</v>
      </c>
      <c r="W263" s="12"/>
      <c r="X263" s="12"/>
      <c r="Y263" s="12"/>
    </row>
    <row r="264" spans="1:25" x14ac:dyDescent="0.2">
      <c r="A264" s="362" t="s">
        <v>33</v>
      </c>
      <c r="B264" s="370">
        <v>0</v>
      </c>
      <c r="C264" s="371">
        <v>0.02</v>
      </c>
      <c r="D264" s="371">
        <v>0.04</v>
      </c>
      <c r="E264" s="371">
        <v>0.05</v>
      </c>
      <c r="F264" s="371">
        <v>0.06</v>
      </c>
      <c r="G264" s="371">
        <v>0.94</v>
      </c>
      <c r="H264" s="377">
        <v>0.94200000000000006</v>
      </c>
      <c r="I264" s="371">
        <v>0.95</v>
      </c>
      <c r="J264" s="371">
        <v>0.95</v>
      </c>
      <c r="K264" s="371">
        <v>0.95</v>
      </c>
      <c r="L264" s="371">
        <v>0.95</v>
      </c>
      <c r="M264" s="371">
        <v>0.95</v>
      </c>
      <c r="N264" s="371">
        <v>0.95</v>
      </c>
      <c r="O264" s="371">
        <v>0.95</v>
      </c>
      <c r="P264" s="371">
        <v>0.95</v>
      </c>
      <c r="Q264" s="371">
        <v>0.95</v>
      </c>
      <c r="R264" s="371">
        <v>0.95</v>
      </c>
      <c r="S264" s="371">
        <v>0.95</v>
      </c>
      <c r="T264" s="371">
        <v>0.95</v>
      </c>
      <c r="U264" s="371">
        <v>0.95</v>
      </c>
      <c r="V264" s="371">
        <v>0.95</v>
      </c>
      <c r="W264" s="371">
        <v>0.95</v>
      </c>
      <c r="X264" s="371">
        <v>2</v>
      </c>
      <c r="Y264" s="381">
        <v>1000</v>
      </c>
    </row>
    <row r="265" spans="1:25" x14ac:dyDescent="0.2">
      <c r="A265" s="378" t="s">
        <v>34</v>
      </c>
      <c r="B265" s="372">
        <v>0</v>
      </c>
      <c r="C265" s="373">
        <v>320</v>
      </c>
      <c r="D265" s="373">
        <v>170</v>
      </c>
      <c r="E265" s="373">
        <v>205</v>
      </c>
      <c r="F265" s="373">
        <v>217</v>
      </c>
      <c r="G265" s="373">
        <v>85</v>
      </c>
      <c r="H265" s="373">
        <v>82</v>
      </c>
      <c r="I265" s="373">
        <v>0</v>
      </c>
      <c r="J265" s="373">
        <v>0</v>
      </c>
      <c r="K265" s="373">
        <v>0</v>
      </c>
      <c r="L265" s="373">
        <v>0</v>
      </c>
      <c r="M265" s="373">
        <v>0</v>
      </c>
      <c r="N265" s="373">
        <v>0</v>
      </c>
      <c r="O265" s="373">
        <v>0</v>
      </c>
      <c r="P265" s="373">
        <v>0</v>
      </c>
      <c r="Q265" s="373">
        <v>0</v>
      </c>
      <c r="R265" s="373">
        <v>0</v>
      </c>
      <c r="S265" s="373">
        <v>0</v>
      </c>
      <c r="T265" s="373">
        <v>0</v>
      </c>
      <c r="U265" s="373">
        <v>0</v>
      </c>
      <c r="V265" s="373">
        <v>0</v>
      </c>
      <c r="W265" s="373">
        <v>0</v>
      </c>
      <c r="X265" s="373">
        <v>0</v>
      </c>
      <c r="Y265" s="382">
        <v>0</v>
      </c>
    </row>
    <row r="266" spans="1:25" ht="13.5" thickBot="1" x14ac:dyDescent="0.25">
      <c r="A266" s="379" t="s">
        <v>117</v>
      </c>
      <c r="B266" s="374">
        <f t="shared" ref="B266:H266" si="89">(C265+B265)*(C264-B264)/2</f>
        <v>3.2</v>
      </c>
      <c r="C266" s="375">
        <f t="shared" si="89"/>
        <v>4.9000000000000004</v>
      </c>
      <c r="D266" s="375">
        <f t="shared" si="89"/>
        <v>1.8750000000000004</v>
      </c>
      <c r="E266" s="375">
        <f t="shared" si="89"/>
        <v>2.109999999999999</v>
      </c>
      <c r="F266" s="375">
        <f t="shared" si="89"/>
        <v>132.88</v>
      </c>
      <c r="G266" s="375">
        <f t="shared" si="89"/>
        <v>0.16700000000000942</v>
      </c>
      <c r="H266" s="375">
        <f t="shared" si="89"/>
        <v>0.32799999999999574</v>
      </c>
      <c r="I266" s="375">
        <f t="shared" ref="I266:V266" si="90">(J265+I265)*(J264-I264)/2</f>
        <v>0</v>
      </c>
      <c r="J266" s="375">
        <f>(K265+J265)*(K264-J264)/2</f>
        <v>0</v>
      </c>
      <c r="K266" s="375">
        <f t="shared" si="90"/>
        <v>0</v>
      </c>
      <c r="L266" s="375">
        <f t="shared" si="90"/>
        <v>0</v>
      </c>
      <c r="M266" s="375">
        <f t="shared" si="90"/>
        <v>0</v>
      </c>
      <c r="N266" s="375">
        <f t="shared" si="90"/>
        <v>0</v>
      </c>
      <c r="O266" s="375">
        <f t="shared" si="90"/>
        <v>0</v>
      </c>
      <c r="P266" s="375">
        <f t="shared" si="90"/>
        <v>0</v>
      </c>
      <c r="Q266" s="375">
        <f t="shared" si="90"/>
        <v>0</v>
      </c>
      <c r="R266" s="375">
        <f t="shared" si="90"/>
        <v>0</v>
      </c>
      <c r="S266" s="375">
        <f>(T265+S265)*(T264-S264)/2</f>
        <v>0</v>
      </c>
      <c r="T266" s="375">
        <f t="shared" si="90"/>
        <v>0</v>
      </c>
      <c r="U266" s="375">
        <f t="shared" si="90"/>
        <v>0</v>
      </c>
      <c r="V266" s="375">
        <f t="shared" si="90"/>
        <v>0</v>
      </c>
      <c r="W266" s="375">
        <f>(X265+W265)*(X264-W264)/2</f>
        <v>0</v>
      </c>
      <c r="X266" s="375">
        <f>(Y265+X265)*(Y264-X264)/2</f>
        <v>0</v>
      </c>
      <c r="Y266" s="369"/>
    </row>
    <row r="267" spans="1:25" x14ac:dyDescent="0.2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3.5" thickBot="1" x14ac:dyDescent="0.25">
      <c r="A268" s="6" t="s">
        <v>312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3.5" thickBot="1" x14ac:dyDescent="0.25">
      <c r="A269" s="361" t="s">
        <v>35</v>
      </c>
      <c r="B269" s="359">
        <f>ROW(A269)</f>
        <v>269</v>
      </c>
      <c r="C269" s="363" t="s">
        <v>116</v>
      </c>
      <c r="D269" s="353">
        <f>SUM(B272:Y272)</f>
        <v>1071.5999999999999</v>
      </c>
      <c r="E269" s="363" t="s">
        <v>115</v>
      </c>
      <c r="F269" s="354">
        <f>D269/g/J269</f>
        <v>163.03802090465106</v>
      </c>
      <c r="G269" s="363" t="s">
        <v>57</v>
      </c>
      <c r="H269" s="64">
        <v>2.02</v>
      </c>
      <c r="I269" s="363" t="s">
        <v>270</v>
      </c>
      <c r="J269" s="355">
        <f>H269-L269</f>
        <v>0.66999999999999993</v>
      </c>
      <c r="K269" s="363" t="s">
        <v>271</v>
      </c>
      <c r="L269" s="64">
        <v>1.35</v>
      </c>
      <c r="M269" s="363" t="s">
        <v>58</v>
      </c>
      <c r="N269" s="65">
        <v>154</v>
      </c>
      <c r="O269" s="363" t="s">
        <v>60</v>
      </c>
      <c r="P269" s="65">
        <v>168</v>
      </c>
      <c r="Q269" s="363" t="s">
        <v>61</v>
      </c>
      <c r="R269" s="65">
        <v>230</v>
      </c>
      <c r="S269" s="363" t="s">
        <v>62</v>
      </c>
      <c r="T269" s="65">
        <v>67</v>
      </c>
      <c r="U269" s="363" t="s">
        <v>55</v>
      </c>
      <c r="V269" s="66" t="s">
        <v>119</v>
      </c>
      <c r="W269" s="12"/>
      <c r="X269" s="12"/>
      <c r="Y269" s="12"/>
    </row>
    <row r="270" spans="1:25" x14ac:dyDescent="0.2">
      <c r="A270" s="362" t="s">
        <v>33</v>
      </c>
      <c r="B270" s="370">
        <v>0</v>
      </c>
      <c r="C270" s="371">
        <v>0.02</v>
      </c>
      <c r="D270" s="371">
        <v>0.05</v>
      </c>
      <c r="E270" s="371">
        <v>0.06</v>
      </c>
      <c r="F270" s="371">
        <v>0.09</v>
      </c>
      <c r="G270" s="371">
        <v>0.17</v>
      </c>
      <c r="H270" s="371">
        <v>0.2</v>
      </c>
      <c r="I270" s="371">
        <v>0.38</v>
      </c>
      <c r="J270" s="371">
        <v>0.75</v>
      </c>
      <c r="K270" s="371">
        <v>0.79</v>
      </c>
      <c r="L270" s="371">
        <v>1.1299999999999999</v>
      </c>
      <c r="M270" s="371">
        <v>1.2</v>
      </c>
      <c r="N270" s="371">
        <v>1.5</v>
      </c>
      <c r="O270" s="371">
        <v>1.54</v>
      </c>
      <c r="P270" s="371">
        <v>1.65</v>
      </c>
      <c r="Q270" s="371">
        <v>1.7</v>
      </c>
      <c r="R270" s="371">
        <v>1.79</v>
      </c>
      <c r="S270" s="371">
        <v>1.79</v>
      </c>
      <c r="T270" s="371">
        <v>1.79</v>
      </c>
      <c r="U270" s="371">
        <v>1.79</v>
      </c>
      <c r="V270" s="371">
        <v>1.79</v>
      </c>
      <c r="W270" s="371">
        <v>1.79</v>
      </c>
      <c r="X270" s="371">
        <v>1.79</v>
      </c>
      <c r="Y270" s="381">
        <v>1000</v>
      </c>
    </row>
    <row r="271" spans="1:25" x14ac:dyDescent="0.2">
      <c r="A271" s="378" t="s">
        <v>34</v>
      </c>
      <c r="B271" s="372">
        <v>0</v>
      </c>
      <c r="C271" s="373">
        <v>20</v>
      </c>
      <c r="D271" s="373">
        <v>870</v>
      </c>
      <c r="E271" s="373">
        <v>530</v>
      </c>
      <c r="F271" s="373">
        <v>790</v>
      </c>
      <c r="G271" s="373">
        <v>700</v>
      </c>
      <c r="H271" s="373">
        <v>710</v>
      </c>
      <c r="I271" s="373">
        <v>670</v>
      </c>
      <c r="J271" s="373">
        <v>630</v>
      </c>
      <c r="K271" s="373">
        <v>630</v>
      </c>
      <c r="L271" s="373">
        <v>710</v>
      </c>
      <c r="M271" s="373">
        <v>690</v>
      </c>
      <c r="N271" s="373">
        <v>690</v>
      </c>
      <c r="O271" s="373">
        <v>660</v>
      </c>
      <c r="P271" s="373">
        <v>160</v>
      </c>
      <c r="Q271" s="373">
        <v>10</v>
      </c>
      <c r="R271" s="373">
        <v>0</v>
      </c>
      <c r="S271" s="373">
        <v>0</v>
      </c>
      <c r="T271" s="373">
        <v>0</v>
      </c>
      <c r="U271" s="373">
        <v>0</v>
      </c>
      <c r="V271" s="373">
        <v>0</v>
      </c>
      <c r="W271" s="373">
        <v>0</v>
      </c>
      <c r="X271" s="373">
        <v>0</v>
      </c>
      <c r="Y271" s="382">
        <v>0</v>
      </c>
    </row>
    <row r="272" spans="1:25" ht="13.5" thickBot="1" x14ac:dyDescent="0.25">
      <c r="A272" s="379" t="s">
        <v>117</v>
      </c>
      <c r="B272" s="374">
        <f t="shared" ref="B272:Q272" si="91">(C271+B271)*(C270-B270)/2</f>
        <v>0.2</v>
      </c>
      <c r="C272" s="375">
        <f t="shared" si="91"/>
        <v>13.350000000000001</v>
      </c>
      <c r="D272" s="375">
        <f t="shared" si="91"/>
        <v>6.9999999999999964</v>
      </c>
      <c r="E272" s="375">
        <f t="shared" si="91"/>
        <v>19.8</v>
      </c>
      <c r="F272" s="375">
        <f t="shared" si="91"/>
        <v>59.600000000000009</v>
      </c>
      <c r="G272" s="375">
        <f t="shared" si="91"/>
        <v>21.15</v>
      </c>
      <c r="H272" s="375">
        <f t="shared" si="91"/>
        <v>124.19999999999999</v>
      </c>
      <c r="I272" s="375">
        <f t="shared" si="91"/>
        <v>240.5</v>
      </c>
      <c r="J272" s="375">
        <f>(K271+J271)*(K270-J270)/2</f>
        <v>25.200000000000024</v>
      </c>
      <c r="K272" s="375">
        <f t="shared" si="91"/>
        <v>227.7999999999999</v>
      </c>
      <c r="L272" s="375">
        <f t="shared" si="91"/>
        <v>49.000000000000043</v>
      </c>
      <c r="M272" s="375">
        <f t="shared" si="91"/>
        <v>207.00000000000003</v>
      </c>
      <c r="N272" s="375">
        <f t="shared" si="91"/>
        <v>27.000000000000025</v>
      </c>
      <c r="O272" s="375">
        <f t="shared" si="91"/>
        <v>45.099999999999952</v>
      </c>
      <c r="P272" s="375">
        <f t="shared" si="91"/>
        <v>4.2500000000000036</v>
      </c>
      <c r="Q272" s="375">
        <f t="shared" si="91"/>
        <v>0.4500000000000004</v>
      </c>
      <c r="R272" s="375">
        <f t="shared" ref="R272:X272" si="92">(S271+R271)*(S270-R270)/2</f>
        <v>0</v>
      </c>
      <c r="S272" s="375">
        <f t="shared" si="92"/>
        <v>0</v>
      </c>
      <c r="T272" s="375">
        <f t="shared" si="92"/>
        <v>0</v>
      </c>
      <c r="U272" s="375">
        <f t="shared" si="92"/>
        <v>0</v>
      </c>
      <c r="V272" s="375">
        <f t="shared" si="92"/>
        <v>0</v>
      </c>
      <c r="W272" s="375">
        <f t="shared" si="92"/>
        <v>0</v>
      </c>
      <c r="X272" s="375">
        <f t="shared" si="92"/>
        <v>0</v>
      </c>
      <c r="Y272" s="383"/>
    </row>
    <row r="273" spans="1:25" ht="13.5" thickBot="1" x14ac:dyDescent="0.25">
      <c r="S273" s="12"/>
      <c r="T273" s="12"/>
      <c r="U273" s="12"/>
      <c r="V273" s="12"/>
      <c r="W273" s="12"/>
      <c r="X273" s="12"/>
      <c r="Y273" s="12"/>
    </row>
    <row r="274" spans="1:25" ht="13.5" thickBot="1" x14ac:dyDescent="0.25">
      <c r="A274" s="361" t="s">
        <v>36</v>
      </c>
      <c r="B274" s="359">
        <f>ROW(A274)</f>
        <v>274</v>
      </c>
      <c r="C274" s="363" t="s">
        <v>116</v>
      </c>
      <c r="D274" s="353">
        <f>SUM(B277:Y277)</f>
        <v>2102.35</v>
      </c>
      <c r="E274" s="363" t="s">
        <v>115</v>
      </c>
      <c r="F274" s="354">
        <f>D274/g/J274</f>
        <v>174.23319493133766</v>
      </c>
      <c r="G274" s="363" t="s">
        <v>57</v>
      </c>
      <c r="H274" s="64">
        <v>3.7</v>
      </c>
      <c r="I274" s="363" t="s">
        <v>270</v>
      </c>
      <c r="J274" s="355">
        <f>H274-L274</f>
        <v>1.23</v>
      </c>
      <c r="K274" s="363" t="s">
        <v>271</v>
      </c>
      <c r="L274" s="64">
        <v>2.4700000000000002</v>
      </c>
      <c r="M274" s="363" t="s">
        <v>58</v>
      </c>
      <c r="N274" s="65">
        <v>151</v>
      </c>
      <c r="O274" s="363" t="s">
        <v>60</v>
      </c>
      <c r="P274" s="65">
        <v>171</v>
      </c>
      <c r="Q274" s="363" t="s">
        <v>61</v>
      </c>
      <c r="R274" s="65">
        <v>247</v>
      </c>
      <c r="S274" s="363" t="s">
        <v>62</v>
      </c>
      <c r="T274" s="65">
        <v>90</v>
      </c>
      <c r="U274" s="363" t="s">
        <v>55</v>
      </c>
      <c r="V274" s="66" t="s">
        <v>119</v>
      </c>
      <c r="W274" s="12"/>
      <c r="X274" s="12"/>
      <c r="Y274" s="12"/>
    </row>
    <row r="275" spans="1:25" x14ac:dyDescent="0.2">
      <c r="A275" s="362" t="s">
        <v>33</v>
      </c>
      <c r="B275" s="370">
        <v>0</v>
      </c>
      <c r="C275" s="371">
        <v>0.05</v>
      </c>
      <c r="D275" s="371">
        <v>0.1</v>
      </c>
      <c r="E275" s="371">
        <v>1</v>
      </c>
      <c r="F275" s="371">
        <v>1.35</v>
      </c>
      <c r="G275" s="371">
        <v>1.75</v>
      </c>
      <c r="H275" s="371">
        <v>2.15</v>
      </c>
      <c r="I275" s="371">
        <v>2.25</v>
      </c>
      <c r="J275" s="371">
        <v>2.48</v>
      </c>
      <c r="K275" s="371">
        <v>2.6</v>
      </c>
      <c r="L275" s="371">
        <v>2.8</v>
      </c>
      <c r="M275" s="371">
        <v>2.8</v>
      </c>
      <c r="N275" s="371">
        <v>2.8</v>
      </c>
      <c r="O275" s="371">
        <v>2.8</v>
      </c>
      <c r="P275" s="371">
        <v>2.8</v>
      </c>
      <c r="Q275" s="371">
        <v>2.8</v>
      </c>
      <c r="R275" s="371">
        <v>2.8</v>
      </c>
      <c r="S275" s="371">
        <v>2.8</v>
      </c>
      <c r="T275" s="371">
        <v>2.8</v>
      </c>
      <c r="U275" s="371">
        <v>2.8</v>
      </c>
      <c r="V275" s="371">
        <v>2.8</v>
      </c>
      <c r="W275" s="371">
        <v>2.8</v>
      </c>
      <c r="X275" s="371">
        <v>2.8</v>
      </c>
      <c r="Y275" s="381">
        <v>1000</v>
      </c>
    </row>
    <row r="276" spans="1:25" x14ac:dyDescent="0.2">
      <c r="A276" s="378" t="s">
        <v>34</v>
      </c>
      <c r="B276" s="372">
        <v>0</v>
      </c>
      <c r="C276" s="373">
        <v>860</v>
      </c>
      <c r="D276" s="373">
        <v>840</v>
      </c>
      <c r="E276" s="373">
        <v>840</v>
      </c>
      <c r="F276" s="373">
        <v>850</v>
      </c>
      <c r="G276" s="373">
        <v>900</v>
      </c>
      <c r="H276" s="373">
        <v>1050</v>
      </c>
      <c r="I276" s="373">
        <v>1020</v>
      </c>
      <c r="J276" s="373">
        <v>120</v>
      </c>
      <c r="K276" s="373">
        <v>30</v>
      </c>
      <c r="L276" s="373">
        <v>0</v>
      </c>
      <c r="M276" s="373">
        <v>0</v>
      </c>
      <c r="N276" s="373">
        <v>0</v>
      </c>
      <c r="O276" s="373">
        <v>0</v>
      </c>
      <c r="P276" s="373">
        <v>0</v>
      </c>
      <c r="Q276" s="373">
        <v>0</v>
      </c>
      <c r="R276" s="373">
        <v>0</v>
      </c>
      <c r="S276" s="373">
        <v>0</v>
      </c>
      <c r="T276" s="373">
        <v>0</v>
      </c>
      <c r="U276" s="373">
        <v>0</v>
      </c>
      <c r="V276" s="373">
        <v>0</v>
      </c>
      <c r="W276" s="373">
        <v>0</v>
      </c>
      <c r="X276" s="373">
        <v>0</v>
      </c>
      <c r="Y276" s="382">
        <v>0</v>
      </c>
    </row>
    <row r="277" spans="1:25" ht="13.5" thickBot="1" x14ac:dyDescent="0.25">
      <c r="A277" s="379" t="s">
        <v>117</v>
      </c>
      <c r="B277" s="374">
        <f t="shared" ref="B277:K277" si="93">(C276+B276)*(C275-B275)/2</f>
        <v>21.5</v>
      </c>
      <c r="C277" s="375">
        <f t="shared" si="93"/>
        <v>42.5</v>
      </c>
      <c r="D277" s="375">
        <f t="shared" si="93"/>
        <v>756</v>
      </c>
      <c r="E277" s="375">
        <f t="shared" si="93"/>
        <v>295.75000000000006</v>
      </c>
      <c r="F277" s="375">
        <f t="shared" si="93"/>
        <v>349.99999999999994</v>
      </c>
      <c r="G277" s="375">
        <f t="shared" si="93"/>
        <v>389.99999999999989</v>
      </c>
      <c r="H277" s="375">
        <f t="shared" si="93"/>
        <v>103.50000000000009</v>
      </c>
      <c r="I277" s="375">
        <f t="shared" si="93"/>
        <v>131.1</v>
      </c>
      <c r="J277" s="375">
        <f>(K276+J276)*(K275-J275)/2</f>
        <v>9.0000000000000071</v>
      </c>
      <c r="K277" s="375">
        <f t="shared" si="93"/>
        <v>2.999999999999996</v>
      </c>
      <c r="L277" s="375">
        <f t="shared" ref="L277:V277" si="94">(M276+L276)*(M275-L275)/2</f>
        <v>0</v>
      </c>
      <c r="M277" s="375">
        <f t="shared" si="94"/>
        <v>0</v>
      </c>
      <c r="N277" s="375">
        <f t="shared" si="94"/>
        <v>0</v>
      </c>
      <c r="O277" s="375">
        <f t="shared" si="94"/>
        <v>0</v>
      </c>
      <c r="P277" s="375">
        <f t="shared" si="94"/>
        <v>0</v>
      </c>
      <c r="Q277" s="375">
        <f t="shared" si="94"/>
        <v>0</v>
      </c>
      <c r="R277" s="375">
        <f t="shared" si="94"/>
        <v>0</v>
      </c>
      <c r="S277" s="375">
        <f>(T276+S276)*(T275-S275)/2</f>
        <v>0</v>
      </c>
      <c r="T277" s="375">
        <f t="shared" si="94"/>
        <v>0</v>
      </c>
      <c r="U277" s="375">
        <f t="shared" si="94"/>
        <v>0</v>
      </c>
      <c r="V277" s="375">
        <f t="shared" si="94"/>
        <v>0</v>
      </c>
      <c r="W277" s="375">
        <f>(X276+W276)*(X275-W275)/2</f>
        <v>0</v>
      </c>
      <c r="X277" s="375">
        <f>(Y276+X276)*(Y275-X275)/2</f>
        <v>0</v>
      </c>
      <c r="Y277" s="369"/>
    </row>
    <row r="278" spans="1:25" ht="13.5" thickBot="1" x14ac:dyDescent="0.25"/>
    <row r="279" spans="1:25" ht="13.5" thickBot="1" x14ac:dyDescent="0.25">
      <c r="A279" s="361" t="s">
        <v>550</v>
      </c>
      <c r="B279" s="359">
        <f>ROW(A279)</f>
        <v>279</v>
      </c>
      <c r="C279" s="363" t="s">
        <v>116</v>
      </c>
      <c r="D279" s="353">
        <f>SUM(B282:Y282)</f>
        <v>2058.37</v>
      </c>
      <c r="E279" s="363" t="s">
        <v>115</v>
      </c>
      <c r="F279" s="354">
        <f>D279/g/J279</f>
        <v>203.12066731598335</v>
      </c>
      <c r="G279" s="363" t="s">
        <v>57</v>
      </c>
      <c r="H279" s="64">
        <v>1.6850000000000001</v>
      </c>
      <c r="I279" s="363" t="s">
        <v>270</v>
      </c>
      <c r="J279" s="355">
        <f>H279-L279</f>
        <v>1.0329999999999999</v>
      </c>
      <c r="K279" s="363" t="s">
        <v>271</v>
      </c>
      <c r="L279" s="64">
        <v>0.65200000000000002</v>
      </c>
      <c r="M279" s="363" t="s">
        <v>58</v>
      </c>
      <c r="N279" s="65">
        <v>250</v>
      </c>
      <c r="O279" s="363" t="s">
        <v>60</v>
      </c>
      <c r="P279" s="65">
        <v>240</v>
      </c>
      <c r="Q279" s="363" t="s">
        <v>61</v>
      </c>
      <c r="R279" s="65">
        <v>488</v>
      </c>
      <c r="S279" s="363" t="s">
        <v>62</v>
      </c>
      <c r="T279" s="65">
        <v>54</v>
      </c>
      <c r="U279" s="363" t="s">
        <v>55</v>
      </c>
      <c r="V279" s="66" t="s">
        <v>119</v>
      </c>
      <c r="W279" s="12"/>
      <c r="X279" s="12"/>
      <c r="Y279" s="12"/>
    </row>
    <row r="280" spans="1:25" x14ac:dyDescent="0.2">
      <c r="A280" s="362" t="s">
        <v>33</v>
      </c>
      <c r="B280" s="370">
        <v>0</v>
      </c>
      <c r="C280" s="371">
        <v>0.05</v>
      </c>
      <c r="D280" s="371">
        <v>0.5</v>
      </c>
      <c r="E280" s="371">
        <v>1</v>
      </c>
      <c r="F280" s="371">
        <v>1.5</v>
      </c>
      <c r="G280" s="371">
        <v>2</v>
      </c>
      <c r="H280" s="371">
        <v>2.5</v>
      </c>
      <c r="I280" s="371">
        <v>2.97</v>
      </c>
      <c r="J280" s="371">
        <v>3.2</v>
      </c>
      <c r="K280" s="371">
        <v>3.47</v>
      </c>
      <c r="L280" s="371">
        <v>3.59</v>
      </c>
      <c r="M280" s="371">
        <v>3.59</v>
      </c>
      <c r="N280" s="371">
        <v>3.59</v>
      </c>
      <c r="O280" s="371">
        <v>3.59</v>
      </c>
      <c r="P280" s="371">
        <v>3.59</v>
      </c>
      <c r="Q280" s="371">
        <v>3.59</v>
      </c>
      <c r="R280" s="371">
        <v>3.59</v>
      </c>
      <c r="S280" s="371">
        <v>3.59</v>
      </c>
      <c r="T280" s="371">
        <v>3.59</v>
      </c>
      <c r="U280" s="371">
        <v>3.59</v>
      </c>
      <c r="V280" s="371">
        <v>3.59</v>
      </c>
      <c r="W280" s="371">
        <v>3.59</v>
      </c>
      <c r="X280" s="371">
        <v>3.59</v>
      </c>
      <c r="Y280" s="381">
        <v>1000</v>
      </c>
    </row>
    <row r="281" spans="1:25" x14ac:dyDescent="0.2">
      <c r="A281" s="378" t="s">
        <v>34</v>
      </c>
      <c r="B281" s="372">
        <v>0</v>
      </c>
      <c r="C281" s="373">
        <v>893</v>
      </c>
      <c r="D281" s="373">
        <v>798</v>
      </c>
      <c r="E281" s="373">
        <v>739</v>
      </c>
      <c r="F281" s="373">
        <v>659</v>
      </c>
      <c r="G281" s="373">
        <v>586</v>
      </c>
      <c r="H281" s="373">
        <v>513</v>
      </c>
      <c r="I281" s="373">
        <v>417</v>
      </c>
      <c r="J281" s="373">
        <v>225</v>
      </c>
      <c r="K281" s="373">
        <v>67</v>
      </c>
      <c r="L281" s="373">
        <v>0</v>
      </c>
      <c r="M281" s="373">
        <v>0</v>
      </c>
      <c r="N281" s="373">
        <v>0</v>
      </c>
      <c r="O281" s="373">
        <v>0</v>
      </c>
      <c r="P281" s="373">
        <v>0</v>
      </c>
      <c r="Q281" s="373">
        <v>0</v>
      </c>
      <c r="R281" s="373">
        <v>0</v>
      </c>
      <c r="S281" s="373">
        <v>0</v>
      </c>
      <c r="T281" s="373">
        <v>0</v>
      </c>
      <c r="U281" s="373">
        <v>0</v>
      </c>
      <c r="V281" s="373">
        <v>0</v>
      </c>
      <c r="W281" s="373">
        <v>0</v>
      </c>
      <c r="X281" s="373">
        <v>0</v>
      </c>
      <c r="Y281" s="382">
        <v>0</v>
      </c>
    </row>
    <row r="282" spans="1:25" ht="13.5" thickBot="1" x14ac:dyDescent="0.25">
      <c r="A282" s="380" t="s">
        <v>117</v>
      </c>
      <c r="B282" s="374">
        <f t="shared" ref="B282:V282" si="95">(C281+B281)*(C280-B280)/2</f>
        <v>22.325000000000003</v>
      </c>
      <c r="C282" s="375">
        <f t="shared" si="95"/>
        <v>380.47500000000002</v>
      </c>
      <c r="D282" s="375">
        <f t="shared" si="95"/>
        <v>384.25</v>
      </c>
      <c r="E282" s="375">
        <f t="shared" si="95"/>
        <v>349.5</v>
      </c>
      <c r="F282" s="375">
        <f t="shared" si="95"/>
        <v>311.25</v>
      </c>
      <c r="G282" s="375">
        <f t="shared" si="95"/>
        <v>274.75</v>
      </c>
      <c r="H282" s="375">
        <f t="shared" si="95"/>
        <v>218.5500000000001</v>
      </c>
      <c r="I282" s="375">
        <f t="shared" si="95"/>
        <v>73.83</v>
      </c>
      <c r="J282" s="375">
        <f>(K281+J281)*(K280-J280)/2</f>
        <v>39.42</v>
      </c>
      <c r="K282" s="375">
        <f t="shared" si="95"/>
        <v>4.0199999999999889</v>
      </c>
      <c r="L282" s="375">
        <f t="shared" si="95"/>
        <v>0</v>
      </c>
      <c r="M282" s="375">
        <f t="shared" si="95"/>
        <v>0</v>
      </c>
      <c r="N282" s="375">
        <f t="shared" si="95"/>
        <v>0</v>
      </c>
      <c r="O282" s="375">
        <f t="shared" si="95"/>
        <v>0</v>
      </c>
      <c r="P282" s="375">
        <f t="shared" si="95"/>
        <v>0</v>
      </c>
      <c r="Q282" s="375">
        <f t="shared" si="95"/>
        <v>0</v>
      </c>
      <c r="R282" s="375">
        <f t="shared" si="95"/>
        <v>0</v>
      </c>
      <c r="S282" s="375">
        <f>(T281+S281)*(T280-S280)/2</f>
        <v>0</v>
      </c>
      <c r="T282" s="375">
        <f t="shared" si="95"/>
        <v>0</v>
      </c>
      <c r="U282" s="375">
        <f t="shared" si="95"/>
        <v>0</v>
      </c>
      <c r="V282" s="375">
        <f t="shared" si="95"/>
        <v>0</v>
      </c>
      <c r="W282" s="375">
        <f>(X281+W281)*(X280-W280)/2</f>
        <v>0</v>
      </c>
      <c r="X282" s="375">
        <f>(Y281+X281)*(Y280-X280)/2</f>
        <v>0</v>
      </c>
      <c r="Y282" s="369"/>
    </row>
    <row r="283" spans="1:25" ht="13.5" thickBot="1" x14ac:dyDescent="0.2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5" thickBot="1" x14ac:dyDescent="0.25">
      <c r="A284" s="361" t="s">
        <v>37</v>
      </c>
      <c r="B284" s="359">
        <f>ROW(A284)</f>
        <v>284</v>
      </c>
      <c r="C284" s="363" t="s">
        <v>116</v>
      </c>
      <c r="D284" s="353">
        <f>SUM(B287:Y287)</f>
        <v>2486.041999999999</v>
      </c>
      <c r="E284" s="363" t="s">
        <v>115</v>
      </c>
      <c r="F284" s="354">
        <f>D284/g/J284</f>
        <v>199.54264891200521</v>
      </c>
      <c r="G284" s="363" t="s">
        <v>57</v>
      </c>
      <c r="H284" s="64">
        <v>2.59</v>
      </c>
      <c r="I284" s="363" t="s">
        <v>270</v>
      </c>
      <c r="J284" s="355">
        <f>H284-L284</f>
        <v>1.2699999999999998</v>
      </c>
      <c r="K284" s="363" t="s">
        <v>271</v>
      </c>
      <c r="L284" s="64">
        <v>1.32</v>
      </c>
      <c r="M284" s="363" t="s">
        <v>58</v>
      </c>
      <c r="N284" s="65">
        <v>175</v>
      </c>
      <c r="O284" s="363" t="s">
        <v>60</v>
      </c>
      <c r="P284" s="65">
        <v>175</v>
      </c>
      <c r="Q284" s="363" t="s">
        <v>61</v>
      </c>
      <c r="R284" s="65">
        <v>350</v>
      </c>
      <c r="S284" s="363" t="s">
        <v>62</v>
      </c>
      <c r="T284" s="65">
        <v>75</v>
      </c>
      <c r="U284" s="363" t="s">
        <v>55</v>
      </c>
      <c r="V284" s="66" t="s">
        <v>119</v>
      </c>
      <c r="W284" s="12"/>
      <c r="X284" s="12"/>
      <c r="Y284" s="12"/>
    </row>
    <row r="285" spans="1:25" x14ac:dyDescent="0.2">
      <c r="A285" s="362" t="s">
        <v>33</v>
      </c>
      <c r="B285" s="370">
        <v>0</v>
      </c>
      <c r="C285" s="371">
        <v>0.04</v>
      </c>
      <c r="D285" s="371">
        <v>7.0000000000000007E-2</v>
      </c>
      <c r="E285" s="371">
        <v>0.1</v>
      </c>
      <c r="F285" s="371">
        <v>0.21</v>
      </c>
      <c r="G285" s="371">
        <v>0.35</v>
      </c>
      <c r="H285" s="371">
        <v>0.53</v>
      </c>
      <c r="I285" s="371">
        <v>0.82</v>
      </c>
      <c r="J285" s="371">
        <v>1.18</v>
      </c>
      <c r="K285" s="371">
        <v>1.72</v>
      </c>
      <c r="L285" s="371">
        <v>2.15</v>
      </c>
      <c r="M285" s="371">
        <v>2.39</v>
      </c>
      <c r="N285" s="371">
        <v>2.9</v>
      </c>
      <c r="O285" s="371">
        <v>3.07</v>
      </c>
      <c r="P285" s="371">
        <v>3.56</v>
      </c>
      <c r="Q285" s="371">
        <v>3.98</v>
      </c>
      <c r="R285" s="371">
        <v>4.32</v>
      </c>
      <c r="S285" s="371">
        <v>4.4800000000000004</v>
      </c>
      <c r="T285" s="371">
        <v>4.5999999999999996</v>
      </c>
      <c r="U285" s="371">
        <v>4.6500000000000004</v>
      </c>
      <c r="V285" s="371">
        <v>4.8</v>
      </c>
      <c r="W285" s="371">
        <v>4.83</v>
      </c>
      <c r="X285" s="371">
        <v>4.84</v>
      </c>
      <c r="Y285" s="381">
        <v>1000</v>
      </c>
    </row>
    <row r="286" spans="1:25" x14ac:dyDescent="0.2">
      <c r="A286" s="378" t="s">
        <v>34</v>
      </c>
      <c r="B286" s="372">
        <v>0</v>
      </c>
      <c r="C286" s="373">
        <v>394.4</v>
      </c>
      <c r="D286" s="373">
        <v>617.70000000000005</v>
      </c>
      <c r="E286" s="373">
        <v>645.1</v>
      </c>
      <c r="F286" s="373">
        <v>658.2</v>
      </c>
      <c r="G286" s="373">
        <v>669.2</v>
      </c>
      <c r="H286" s="373">
        <v>667.7</v>
      </c>
      <c r="I286" s="373">
        <v>661.6</v>
      </c>
      <c r="J286" s="373">
        <v>626.9</v>
      </c>
      <c r="K286" s="373">
        <v>588.5</v>
      </c>
      <c r="L286" s="373">
        <v>557.70000000000005</v>
      </c>
      <c r="M286" s="373">
        <v>542.29999999999995</v>
      </c>
      <c r="N286" s="373">
        <v>492.9</v>
      </c>
      <c r="O286" s="373">
        <v>470.3</v>
      </c>
      <c r="P286" s="373">
        <v>426.8</v>
      </c>
      <c r="Q286" s="373">
        <v>399</v>
      </c>
      <c r="R286" s="373">
        <v>394</v>
      </c>
      <c r="S286" s="373">
        <v>380.6</v>
      </c>
      <c r="T286" s="373">
        <v>364.2</v>
      </c>
      <c r="U286" s="373">
        <v>290.89999999999998</v>
      </c>
      <c r="V286" s="373">
        <v>91.2</v>
      </c>
      <c r="W286" s="373">
        <v>45.8</v>
      </c>
      <c r="X286" s="373">
        <v>0</v>
      </c>
      <c r="Y286" s="382">
        <v>0</v>
      </c>
    </row>
    <row r="287" spans="1:25" ht="13.5" thickBot="1" x14ac:dyDescent="0.25">
      <c r="A287" s="379" t="s">
        <v>117</v>
      </c>
      <c r="B287" s="374">
        <f t="shared" ref="B287:V287" si="96">(C286+B286)*(C285-B285)/2</f>
        <v>7.8879999999999999</v>
      </c>
      <c r="C287" s="375">
        <f t="shared" si="96"/>
        <v>15.181500000000003</v>
      </c>
      <c r="D287" s="375">
        <f t="shared" si="96"/>
        <v>18.942000000000004</v>
      </c>
      <c r="E287" s="375">
        <f t="shared" si="96"/>
        <v>71.6815</v>
      </c>
      <c r="F287" s="375">
        <f t="shared" si="96"/>
        <v>92.917999999999992</v>
      </c>
      <c r="G287" s="375">
        <f t="shared" si="96"/>
        <v>120.32100000000004</v>
      </c>
      <c r="H287" s="375">
        <f t="shared" si="96"/>
        <v>192.74849999999998</v>
      </c>
      <c r="I287" s="375">
        <f t="shared" si="96"/>
        <v>231.92999999999998</v>
      </c>
      <c r="J287" s="375">
        <f>(K286+J286)*(K285-J285)/2</f>
        <v>328.15800000000007</v>
      </c>
      <c r="K287" s="375">
        <f t="shared" si="96"/>
        <v>246.43299999999996</v>
      </c>
      <c r="L287" s="375">
        <f t="shared" si="96"/>
        <v>132.00000000000011</v>
      </c>
      <c r="M287" s="375">
        <f t="shared" si="96"/>
        <v>263.97599999999983</v>
      </c>
      <c r="N287" s="375">
        <f t="shared" si="96"/>
        <v>81.871999999999971</v>
      </c>
      <c r="O287" s="375">
        <f t="shared" si="96"/>
        <v>219.78950000000009</v>
      </c>
      <c r="P287" s="375">
        <f t="shared" si="96"/>
        <v>173.41799999999995</v>
      </c>
      <c r="Q287" s="375">
        <f t="shared" si="96"/>
        <v>134.81000000000012</v>
      </c>
      <c r="R287" s="375">
        <f t="shared" si="96"/>
        <v>61.96800000000006</v>
      </c>
      <c r="S287" s="375">
        <f>(T286+S286)*(T285-S285)/2</f>
        <v>44.687999999999704</v>
      </c>
      <c r="T287" s="375">
        <f t="shared" si="96"/>
        <v>16.377500000000232</v>
      </c>
      <c r="U287" s="375">
        <f t="shared" si="96"/>
        <v>28.657499999999896</v>
      </c>
      <c r="V287" s="375">
        <f t="shared" si="96"/>
        <v>2.055000000000017</v>
      </c>
      <c r="W287" s="375">
        <f>(X286+W286)*(X285-W285)/2</f>
        <v>0.2289999999999951</v>
      </c>
      <c r="X287" s="375">
        <f>(Y286+X286)*(Y285-X285)/2</f>
        <v>0</v>
      </c>
      <c r="Y287" s="369"/>
    </row>
    <row r="288" spans="1:25" ht="13.5" thickBot="1" x14ac:dyDescent="0.25">
      <c r="A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5" thickBot="1" x14ac:dyDescent="0.25">
      <c r="A289" s="361" t="s">
        <v>551</v>
      </c>
      <c r="B289" s="359">
        <f>ROW(A289)</f>
        <v>289</v>
      </c>
      <c r="C289" s="363" t="s">
        <v>116</v>
      </c>
      <c r="D289" s="353">
        <f>SUM(B292:Y292)</f>
        <v>3739.0284999999994</v>
      </c>
      <c r="E289" s="363" t="s">
        <v>115</v>
      </c>
      <c r="F289" s="354">
        <f>D289/g/J289</f>
        <v>203.4941790441234</v>
      </c>
      <c r="G289" s="363" t="s">
        <v>57</v>
      </c>
      <c r="H289" s="64">
        <v>3.5110000000000001</v>
      </c>
      <c r="I289" s="363" t="s">
        <v>270</v>
      </c>
      <c r="J289" s="355">
        <f>H289-L289</f>
        <v>1.8730000000000002</v>
      </c>
      <c r="K289" s="363" t="s">
        <v>271</v>
      </c>
      <c r="L289" s="64">
        <v>1.6379999999999999</v>
      </c>
      <c r="M289" s="363" t="s">
        <v>58</v>
      </c>
      <c r="N289" s="65">
        <v>243</v>
      </c>
      <c r="O289" s="363" t="s">
        <v>60</v>
      </c>
      <c r="P289" s="65">
        <v>243</v>
      </c>
      <c r="Q289" s="363" t="s">
        <v>61</v>
      </c>
      <c r="R289" s="65">
        <v>486</v>
      </c>
      <c r="S289" s="363" t="s">
        <v>62</v>
      </c>
      <c r="T289" s="65">
        <v>75</v>
      </c>
      <c r="U289" s="363" t="s">
        <v>55</v>
      </c>
      <c r="V289" s="66" t="s">
        <v>119</v>
      </c>
      <c r="W289" s="12"/>
      <c r="X289" s="12"/>
      <c r="Y289" s="12"/>
    </row>
    <row r="290" spans="1:25" x14ac:dyDescent="0.2">
      <c r="A290" s="362" t="s">
        <v>33</v>
      </c>
      <c r="B290" s="370">
        <v>0</v>
      </c>
      <c r="C290" s="371">
        <v>0.01</v>
      </c>
      <c r="D290" s="371">
        <v>0.1</v>
      </c>
      <c r="E290" s="371">
        <v>0.12</v>
      </c>
      <c r="F290" s="371">
        <v>0.26</v>
      </c>
      <c r="G290" s="371">
        <v>0.71</v>
      </c>
      <c r="H290" s="371">
        <v>1.28</v>
      </c>
      <c r="I290" s="371">
        <v>2.0499999999999998</v>
      </c>
      <c r="J290" s="371">
        <v>2.41</v>
      </c>
      <c r="K290" s="371">
        <v>2.83</v>
      </c>
      <c r="L290" s="371">
        <v>3.25</v>
      </c>
      <c r="M290" s="371">
        <v>3.65</v>
      </c>
      <c r="N290" s="371">
        <v>3.8</v>
      </c>
      <c r="O290" s="371">
        <v>4</v>
      </c>
      <c r="P290" s="371">
        <v>4.0999999999999996</v>
      </c>
      <c r="Q290" s="371">
        <v>4.1900000000000004</v>
      </c>
      <c r="R290" s="371">
        <v>4.3099999999999996</v>
      </c>
      <c r="S290" s="371">
        <v>4.41</v>
      </c>
      <c r="T290" s="371">
        <v>4.5199999999999996</v>
      </c>
      <c r="U290" s="371">
        <v>4.5999999999999996</v>
      </c>
      <c r="V290" s="371">
        <v>4.6500000000000004</v>
      </c>
      <c r="W290" s="371">
        <v>4.67</v>
      </c>
      <c r="X290" s="371">
        <v>4.68</v>
      </c>
      <c r="Y290" s="381">
        <v>1000</v>
      </c>
    </row>
    <row r="291" spans="1:25" x14ac:dyDescent="0.2">
      <c r="A291" s="378" t="s">
        <v>34</v>
      </c>
      <c r="B291" s="372">
        <v>27</v>
      </c>
      <c r="C291" s="373">
        <v>402.4</v>
      </c>
      <c r="D291" s="373">
        <v>1286</v>
      </c>
      <c r="E291" s="373">
        <v>1257</v>
      </c>
      <c r="F291" s="373">
        <v>1042</v>
      </c>
      <c r="G291" s="373">
        <v>1027</v>
      </c>
      <c r="H291" s="373">
        <v>998.4</v>
      </c>
      <c r="I291" s="373">
        <v>901.4</v>
      </c>
      <c r="J291" s="373">
        <v>849.6</v>
      </c>
      <c r="K291" s="373">
        <v>763.5</v>
      </c>
      <c r="L291" s="373">
        <v>707.1</v>
      </c>
      <c r="M291" s="373">
        <v>655.1</v>
      </c>
      <c r="N291" s="373">
        <v>651.70000000000005</v>
      </c>
      <c r="O291" s="373">
        <v>624.1</v>
      </c>
      <c r="P291" s="373">
        <v>601.29999999999995</v>
      </c>
      <c r="Q291" s="373">
        <v>536.20000000000005</v>
      </c>
      <c r="R291" s="373">
        <v>415.7</v>
      </c>
      <c r="S291" s="373">
        <v>270.2</v>
      </c>
      <c r="T291" s="373">
        <v>140.19999999999999</v>
      </c>
      <c r="U291" s="373">
        <v>76.900000000000006</v>
      </c>
      <c r="V291" s="373">
        <v>54.9</v>
      </c>
      <c r="W291" s="373">
        <v>40.200000000000003</v>
      </c>
      <c r="X291" s="373">
        <v>0</v>
      </c>
      <c r="Y291" s="382">
        <v>0</v>
      </c>
    </row>
    <row r="292" spans="1:25" ht="13.5" thickBot="1" x14ac:dyDescent="0.25">
      <c r="A292" s="379" t="s">
        <v>117</v>
      </c>
      <c r="B292" s="374">
        <f t="shared" ref="B292:V292" si="97">(C291+B291)*(C290-B290)/2</f>
        <v>2.1469999999999998</v>
      </c>
      <c r="C292" s="375">
        <f t="shared" si="97"/>
        <v>75.978000000000009</v>
      </c>
      <c r="D292" s="375">
        <f t="shared" si="97"/>
        <v>25.429999999999989</v>
      </c>
      <c r="E292" s="375">
        <f t="shared" si="97"/>
        <v>160.93</v>
      </c>
      <c r="F292" s="375">
        <f t="shared" si="97"/>
        <v>465.52499999999998</v>
      </c>
      <c r="G292" s="375">
        <f t="shared" si="97"/>
        <v>577.23900000000003</v>
      </c>
      <c r="H292" s="375">
        <f t="shared" si="97"/>
        <v>731.42299999999977</v>
      </c>
      <c r="I292" s="375">
        <f t="shared" si="97"/>
        <v>315.18000000000029</v>
      </c>
      <c r="J292" s="375">
        <f>(K291+J291)*(K290-J290)/2</f>
        <v>338.75099999999992</v>
      </c>
      <c r="K292" s="375">
        <f t="shared" si="97"/>
        <v>308.82599999999991</v>
      </c>
      <c r="L292" s="375">
        <f t="shared" si="97"/>
        <v>272.43999999999994</v>
      </c>
      <c r="M292" s="375">
        <f t="shared" si="97"/>
        <v>98.009999999999962</v>
      </c>
      <c r="N292" s="375">
        <f t="shared" si="97"/>
        <v>127.58000000000013</v>
      </c>
      <c r="O292" s="375">
        <f t="shared" si="97"/>
        <v>61.26999999999979</v>
      </c>
      <c r="P292" s="375">
        <f t="shared" si="97"/>
        <v>51.187500000000426</v>
      </c>
      <c r="Q292" s="375">
        <f t="shared" si="97"/>
        <v>57.113999999999635</v>
      </c>
      <c r="R292" s="375">
        <f t="shared" si="97"/>
        <v>34.295000000000179</v>
      </c>
      <c r="S292" s="375">
        <f>(T291+S291)*(T290-S290)/2</f>
        <v>22.571999999999882</v>
      </c>
      <c r="T292" s="375">
        <f t="shared" si="97"/>
        <v>8.6840000000000082</v>
      </c>
      <c r="U292" s="375">
        <f t="shared" si="97"/>
        <v>3.295000000000047</v>
      </c>
      <c r="V292" s="375">
        <f t="shared" si="97"/>
        <v>0.95099999999997964</v>
      </c>
      <c r="W292" s="375">
        <f>(X291+W291)*(X290-W290)/2</f>
        <v>0.20099999999999574</v>
      </c>
      <c r="X292" s="375">
        <f>(Y291+X291)*(Y290-X290)/2</f>
        <v>0</v>
      </c>
      <c r="Y292" s="369"/>
    </row>
    <row r="293" spans="1:25" ht="13.5" thickBot="1" x14ac:dyDescent="0.2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5" thickBot="1" x14ac:dyDescent="0.25">
      <c r="A294" s="361" t="s">
        <v>317</v>
      </c>
      <c r="B294" s="359">
        <f>ROW(A294)</f>
        <v>294</v>
      </c>
      <c r="C294" s="363" t="s">
        <v>116</v>
      </c>
      <c r="D294" s="353">
        <f>SUM(B297:Y297)</f>
        <v>5322.2813159999996</v>
      </c>
      <c r="E294" s="363" t="s">
        <v>115</v>
      </c>
      <c r="F294" s="354">
        <f>D294/g/J294</f>
        <v>210.04116210318938</v>
      </c>
      <c r="G294" s="363" t="s">
        <v>57</v>
      </c>
      <c r="H294" s="64">
        <v>4.9770000000000003</v>
      </c>
      <c r="I294" s="363" t="s">
        <v>270</v>
      </c>
      <c r="J294" s="355">
        <f>H294-L294</f>
        <v>2.5830000000000002</v>
      </c>
      <c r="K294" s="363" t="s">
        <v>271</v>
      </c>
      <c r="L294" s="64">
        <v>2.3940000000000001</v>
      </c>
      <c r="M294" s="363" t="s">
        <v>58</v>
      </c>
      <c r="N294" s="65">
        <v>197</v>
      </c>
      <c r="O294" s="363" t="s">
        <v>60</v>
      </c>
      <c r="P294" s="65">
        <v>197</v>
      </c>
      <c r="Q294" s="363" t="s">
        <v>61</v>
      </c>
      <c r="R294" s="65">
        <v>394</v>
      </c>
      <c r="S294" s="363" t="s">
        <v>62</v>
      </c>
      <c r="T294" s="65">
        <v>98</v>
      </c>
      <c r="U294" s="363" t="s">
        <v>55</v>
      </c>
      <c r="V294" s="66" t="s">
        <v>119</v>
      </c>
      <c r="W294" s="12"/>
      <c r="X294" s="12"/>
      <c r="Y294" s="12"/>
    </row>
    <row r="295" spans="1:25" x14ac:dyDescent="0.2">
      <c r="A295" s="362" t="s">
        <v>33</v>
      </c>
      <c r="B295" s="370">
        <v>0</v>
      </c>
      <c r="C295" s="371">
        <v>3.6999999999999998E-2</v>
      </c>
      <c r="D295" s="371">
        <v>0.121</v>
      </c>
      <c r="E295" s="371">
        <v>0.32800000000000001</v>
      </c>
      <c r="F295" s="371">
        <v>1.2989999999999999</v>
      </c>
      <c r="G295" s="371">
        <v>1.5449999999999999</v>
      </c>
      <c r="H295" s="371">
        <v>1.7969999999999999</v>
      </c>
      <c r="I295" s="371">
        <v>1.998</v>
      </c>
      <c r="J295" s="371">
        <v>2.2080000000000002</v>
      </c>
      <c r="K295" s="371">
        <v>2.4620000000000002</v>
      </c>
      <c r="L295" s="371">
        <v>2.782</v>
      </c>
      <c r="M295" s="371">
        <v>3.0859999999999999</v>
      </c>
      <c r="N295" s="371">
        <v>3.2130000000000001</v>
      </c>
      <c r="O295" s="371">
        <v>3.258</v>
      </c>
      <c r="P295" s="371">
        <v>3.3279999999999998</v>
      </c>
      <c r="Q295" s="371">
        <v>3.383</v>
      </c>
      <c r="R295" s="371">
        <v>3.4279999999999999</v>
      </c>
      <c r="S295" s="371">
        <v>3.5</v>
      </c>
      <c r="T295" s="371">
        <v>3.5</v>
      </c>
      <c r="U295" s="371">
        <v>3.5</v>
      </c>
      <c r="V295" s="371">
        <v>3.5</v>
      </c>
      <c r="W295" s="371">
        <v>3.5</v>
      </c>
      <c r="X295" s="371">
        <v>3.5</v>
      </c>
      <c r="Y295" s="381">
        <v>1000</v>
      </c>
    </row>
    <row r="296" spans="1:25" x14ac:dyDescent="0.2">
      <c r="A296" s="378" t="s">
        <v>34</v>
      </c>
      <c r="B296" s="372">
        <v>0</v>
      </c>
      <c r="C296" s="373">
        <v>1474.12</v>
      </c>
      <c r="D296" s="373">
        <v>1436.5</v>
      </c>
      <c r="E296" s="373">
        <v>1523.49</v>
      </c>
      <c r="F296" s="373">
        <v>1775.06</v>
      </c>
      <c r="G296" s="373">
        <v>1807.97</v>
      </c>
      <c r="H296" s="373">
        <v>1807.97</v>
      </c>
      <c r="I296" s="373">
        <v>1786.81</v>
      </c>
      <c r="J296" s="373">
        <v>1737.44</v>
      </c>
      <c r="K296" s="373">
        <v>1572.86</v>
      </c>
      <c r="L296" s="373">
        <v>1415.34</v>
      </c>
      <c r="M296" s="373">
        <v>1309.55</v>
      </c>
      <c r="N296" s="373">
        <v>1290.74</v>
      </c>
      <c r="O296" s="373">
        <v>1309.55</v>
      </c>
      <c r="P296" s="373">
        <v>679.45899999999995</v>
      </c>
      <c r="Q296" s="373">
        <v>173.97900000000001</v>
      </c>
      <c r="R296" s="373">
        <v>68.180999999999997</v>
      </c>
      <c r="S296" s="373">
        <v>0</v>
      </c>
      <c r="T296" s="373">
        <v>0</v>
      </c>
      <c r="U296" s="373">
        <v>0</v>
      </c>
      <c r="V296" s="373">
        <v>0</v>
      </c>
      <c r="W296" s="373">
        <v>0</v>
      </c>
      <c r="X296" s="373">
        <v>0</v>
      </c>
      <c r="Y296" s="382">
        <v>0</v>
      </c>
    </row>
    <row r="297" spans="1:25" ht="13.5" thickBot="1" x14ac:dyDescent="0.25">
      <c r="A297" s="379" t="s">
        <v>117</v>
      </c>
      <c r="B297" s="374">
        <f t="shared" ref="B297:X297" si="98">(C296+B296)*(C295-B295)/2</f>
        <v>27.271219999999996</v>
      </c>
      <c r="C297" s="375">
        <f t="shared" si="98"/>
        <v>122.24603999999998</v>
      </c>
      <c r="D297" s="375">
        <f t="shared" si="98"/>
        <v>306.35896500000001</v>
      </c>
      <c r="E297" s="375">
        <f t="shared" si="98"/>
        <v>1601.446025</v>
      </c>
      <c r="F297" s="375">
        <f t="shared" si="98"/>
        <v>440.71268999999995</v>
      </c>
      <c r="G297" s="375">
        <f t="shared" si="98"/>
        <v>455.60844000000003</v>
      </c>
      <c r="H297" s="375">
        <f t="shared" si="98"/>
        <v>361.27539000000007</v>
      </c>
      <c r="I297" s="375">
        <f t="shared" si="98"/>
        <v>370.04625000000033</v>
      </c>
      <c r="J297" s="375">
        <f t="shared" si="98"/>
        <v>420.40810000000005</v>
      </c>
      <c r="K297" s="375">
        <f t="shared" si="98"/>
        <v>478.11199999999974</v>
      </c>
      <c r="L297" s="375">
        <f t="shared" si="98"/>
        <v>414.18327999999974</v>
      </c>
      <c r="M297" s="375">
        <f t="shared" si="98"/>
        <v>165.11841500000028</v>
      </c>
      <c r="N297" s="375">
        <f t="shared" si="98"/>
        <v>58.506524999999904</v>
      </c>
      <c r="O297" s="375">
        <f t="shared" si="98"/>
        <v>69.615314999999839</v>
      </c>
      <c r="P297" s="375">
        <f t="shared" si="98"/>
        <v>23.469545000000068</v>
      </c>
      <c r="Q297" s="375">
        <f t="shared" si="98"/>
        <v>5.4485999999999919</v>
      </c>
      <c r="R297" s="375">
        <f t="shared" si="98"/>
        <v>2.4545160000000021</v>
      </c>
      <c r="S297" s="375">
        <f t="shared" si="98"/>
        <v>0</v>
      </c>
      <c r="T297" s="375">
        <f t="shared" si="98"/>
        <v>0</v>
      </c>
      <c r="U297" s="375">
        <f t="shared" si="98"/>
        <v>0</v>
      </c>
      <c r="V297" s="375">
        <f t="shared" si="98"/>
        <v>0</v>
      </c>
      <c r="W297" s="375">
        <f t="shared" si="98"/>
        <v>0</v>
      </c>
      <c r="X297" s="375">
        <f t="shared" si="98"/>
        <v>0</v>
      </c>
      <c r="Y297" s="369"/>
    </row>
    <row r="298" spans="1:25" ht="13.5" thickBot="1" x14ac:dyDescent="0.25">
      <c r="A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5" thickBot="1" x14ac:dyDescent="0.25">
      <c r="A299" s="361" t="s">
        <v>318</v>
      </c>
      <c r="B299" s="359">
        <f>ROW(A299)</f>
        <v>299</v>
      </c>
      <c r="C299" s="363" t="s">
        <v>116</v>
      </c>
      <c r="D299" s="353">
        <f>SUM(B302:Y302)</f>
        <v>7412.4371409999985</v>
      </c>
      <c r="E299" s="363" t="s">
        <v>115</v>
      </c>
      <c r="F299" s="354">
        <f>D299/g/J299</f>
        <v>223.28608637999045</v>
      </c>
      <c r="G299" s="363" t="s">
        <v>57</v>
      </c>
      <c r="H299" s="64">
        <v>6.25</v>
      </c>
      <c r="I299" s="363" t="s">
        <v>270</v>
      </c>
      <c r="J299" s="355">
        <f>H299-L299</f>
        <v>3.3839999999999999</v>
      </c>
      <c r="K299" s="363" t="s">
        <v>271</v>
      </c>
      <c r="L299" s="64">
        <v>2.8660000000000001</v>
      </c>
      <c r="M299" s="363" t="s">
        <v>58</v>
      </c>
      <c r="N299" s="65">
        <v>290</v>
      </c>
      <c r="O299" s="363" t="s">
        <v>60</v>
      </c>
      <c r="P299" s="65">
        <v>290</v>
      </c>
      <c r="Q299" s="363" t="s">
        <v>61</v>
      </c>
      <c r="R299" s="65">
        <v>579</v>
      </c>
      <c r="S299" s="363" t="s">
        <v>62</v>
      </c>
      <c r="T299" s="65">
        <v>98</v>
      </c>
      <c r="U299" s="363" t="s">
        <v>55</v>
      </c>
      <c r="V299" s="66" t="s">
        <v>119</v>
      </c>
      <c r="W299" s="12"/>
      <c r="X299" s="12"/>
      <c r="Y299" s="12"/>
    </row>
    <row r="300" spans="1:25" x14ac:dyDescent="0.2">
      <c r="A300" s="362" t="s">
        <v>33</v>
      </c>
      <c r="B300" s="370">
        <v>0</v>
      </c>
      <c r="C300" s="371">
        <v>1.7000000000000001E-2</v>
      </c>
      <c r="D300" s="371">
        <v>5.1999999999999998E-2</v>
      </c>
      <c r="E300" s="371">
        <v>8.7999999999999995E-2</v>
      </c>
      <c r="F300" s="371">
        <v>0.108</v>
      </c>
      <c r="G300" s="371">
        <v>0.127</v>
      </c>
      <c r="H300" s="371">
        <v>0.17399999999999999</v>
      </c>
      <c r="I300" s="371">
        <v>0.25700000000000001</v>
      </c>
      <c r="J300" s="371">
        <v>0.40300000000000002</v>
      </c>
      <c r="K300" s="371">
        <v>0.76200000000000001</v>
      </c>
      <c r="L300" s="371">
        <v>0.97699999999999998</v>
      </c>
      <c r="M300" s="371">
        <v>1.341</v>
      </c>
      <c r="N300" s="371">
        <v>1.5009999999999999</v>
      </c>
      <c r="O300" s="371">
        <v>1.661</v>
      </c>
      <c r="P300" s="371">
        <v>1.96</v>
      </c>
      <c r="Q300" s="371">
        <v>2.4039999999999999</v>
      </c>
      <c r="R300" s="371">
        <v>2.641</v>
      </c>
      <c r="S300" s="371">
        <v>2.7160000000000002</v>
      </c>
      <c r="T300" s="371">
        <v>2.8210000000000002</v>
      </c>
      <c r="U300" s="371">
        <v>2.8919999999999999</v>
      </c>
      <c r="V300" s="371">
        <v>2.92</v>
      </c>
      <c r="W300" s="371">
        <v>2.97</v>
      </c>
      <c r="X300" s="371">
        <v>3</v>
      </c>
      <c r="Y300" s="381">
        <v>1000</v>
      </c>
    </row>
    <row r="301" spans="1:25" x14ac:dyDescent="0.2">
      <c r="A301" s="378" t="s">
        <v>34</v>
      </c>
      <c r="B301" s="372">
        <v>0</v>
      </c>
      <c r="C301" s="373">
        <v>329.84699999999998</v>
      </c>
      <c r="D301" s="373">
        <v>1003.68</v>
      </c>
      <c r="E301" s="373">
        <v>2346.62</v>
      </c>
      <c r="F301" s="373">
        <v>2549.2399999999998</v>
      </c>
      <c r="G301" s="373">
        <v>2605.79</v>
      </c>
      <c r="H301" s="373">
        <v>2520.9699999999998</v>
      </c>
      <c r="I301" s="373">
        <v>2516.2600000000002</v>
      </c>
      <c r="J301" s="373">
        <v>2596.37</v>
      </c>
      <c r="K301" s="373">
        <v>2808.41</v>
      </c>
      <c r="L301" s="373">
        <v>2954.49</v>
      </c>
      <c r="M301" s="373">
        <v>2959.2</v>
      </c>
      <c r="N301" s="373">
        <v>2907.36</v>
      </c>
      <c r="O301" s="373">
        <v>2869.67</v>
      </c>
      <c r="P301" s="373">
        <v>2695.32</v>
      </c>
      <c r="Q301" s="373">
        <v>2351.34</v>
      </c>
      <c r="R301" s="373">
        <v>2228.8200000000002</v>
      </c>
      <c r="S301" s="373">
        <v>2007.35</v>
      </c>
      <c r="T301" s="373">
        <v>1427.77</v>
      </c>
      <c r="U301" s="373">
        <v>504.19400000000002</v>
      </c>
      <c r="V301" s="373">
        <v>334.55900000000003</v>
      </c>
      <c r="W301" s="373">
        <v>122.515</v>
      </c>
      <c r="X301" s="373">
        <v>0</v>
      </c>
      <c r="Y301" s="382">
        <v>0</v>
      </c>
    </row>
    <row r="302" spans="1:25" ht="13.5" thickBot="1" x14ac:dyDescent="0.25">
      <c r="A302" s="379" t="s">
        <v>117</v>
      </c>
      <c r="B302" s="374">
        <f t="shared" ref="B302:X302" si="99">(C301+B301)*(C300-B300)/2</f>
        <v>2.8036995</v>
      </c>
      <c r="C302" s="375">
        <f t="shared" si="99"/>
        <v>23.336722499999997</v>
      </c>
      <c r="D302" s="375">
        <f t="shared" si="99"/>
        <v>60.305399999999992</v>
      </c>
      <c r="E302" s="375">
        <f t="shared" si="99"/>
        <v>48.958600000000004</v>
      </c>
      <c r="F302" s="375">
        <f t="shared" si="99"/>
        <v>48.972785000000002</v>
      </c>
      <c r="G302" s="375">
        <f t="shared" si="99"/>
        <v>120.47885999999997</v>
      </c>
      <c r="H302" s="375">
        <f t="shared" si="99"/>
        <v>209.04504500000002</v>
      </c>
      <c r="I302" s="375">
        <f t="shared" si="99"/>
        <v>373.22199000000006</v>
      </c>
      <c r="J302" s="375">
        <f t="shared" si="99"/>
        <v>970.15800999999988</v>
      </c>
      <c r="K302" s="375">
        <f t="shared" si="99"/>
        <v>619.51174999999989</v>
      </c>
      <c r="L302" s="375">
        <f t="shared" si="99"/>
        <v>1076.2915799999998</v>
      </c>
      <c r="M302" s="375">
        <f t="shared" si="99"/>
        <v>469.3247999999997</v>
      </c>
      <c r="N302" s="375">
        <f t="shared" si="99"/>
        <v>462.16240000000045</v>
      </c>
      <c r="O302" s="375">
        <f t="shared" si="99"/>
        <v>831.96600499999977</v>
      </c>
      <c r="P302" s="375">
        <f t="shared" si="99"/>
        <v>1120.3585199999998</v>
      </c>
      <c r="Q302" s="375">
        <f t="shared" si="99"/>
        <v>542.74896000000024</v>
      </c>
      <c r="R302" s="375">
        <f t="shared" si="99"/>
        <v>158.85637500000038</v>
      </c>
      <c r="S302" s="375">
        <f t="shared" si="99"/>
        <v>180.34379999999996</v>
      </c>
      <c r="T302" s="375">
        <f t="shared" si="99"/>
        <v>68.584721999999744</v>
      </c>
      <c r="U302" s="375">
        <f t="shared" si="99"/>
        <v>11.742542000000011</v>
      </c>
      <c r="V302" s="375">
        <f t="shared" si="99"/>
        <v>11.42685000000006</v>
      </c>
      <c r="W302" s="375">
        <f t="shared" si="99"/>
        <v>1.8377249999999881</v>
      </c>
      <c r="X302" s="375">
        <f t="shared" si="99"/>
        <v>0</v>
      </c>
      <c r="Y302" s="369"/>
    </row>
    <row r="303" spans="1:25" ht="13.5" thickBot="1" x14ac:dyDescent="0.2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3.5" thickBot="1" x14ac:dyDescent="0.25">
      <c r="A304" s="361" t="s">
        <v>552</v>
      </c>
      <c r="B304" s="359">
        <f>ROW(A304)</f>
        <v>304</v>
      </c>
      <c r="C304" s="363" t="s">
        <v>116</v>
      </c>
      <c r="D304" s="353">
        <f>SUM(B307:Y307)</f>
        <v>17734.977350500001</v>
      </c>
      <c r="E304" s="363" t="s">
        <v>115</v>
      </c>
      <c r="F304" s="354">
        <f>D304/g/J304</f>
        <v>192.73420306179892</v>
      </c>
      <c r="G304" s="363" t="s">
        <v>57</v>
      </c>
      <c r="H304" s="64">
        <v>14.747999999999999</v>
      </c>
      <c r="I304" s="363" t="s">
        <v>270</v>
      </c>
      <c r="J304" s="355">
        <f>H304-L304</f>
        <v>9.379999999999999</v>
      </c>
      <c r="K304" s="363" t="s">
        <v>271</v>
      </c>
      <c r="L304" s="64">
        <v>5.3680000000000003</v>
      </c>
      <c r="M304" s="363" t="s">
        <v>58</v>
      </c>
      <c r="N304" s="65">
        <v>500</v>
      </c>
      <c r="O304" s="363" t="s">
        <v>60</v>
      </c>
      <c r="P304" s="65">
        <v>500</v>
      </c>
      <c r="Q304" s="363" t="s">
        <v>61</v>
      </c>
      <c r="R304" s="65">
        <v>1046</v>
      </c>
      <c r="S304" s="363" t="s">
        <v>62</v>
      </c>
      <c r="T304" s="65">
        <v>98</v>
      </c>
      <c r="U304" s="363" t="s">
        <v>55</v>
      </c>
      <c r="V304" s="66" t="s">
        <v>119</v>
      </c>
      <c r="W304" s="12"/>
      <c r="X304" s="12"/>
      <c r="Y304" s="12"/>
    </row>
    <row r="305" spans="1:25" x14ac:dyDescent="0.2">
      <c r="A305" s="362" t="s">
        <v>33</v>
      </c>
      <c r="B305" s="370">
        <v>0</v>
      </c>
      <c r="C305" s="371">
        <v>3.0000000000000001E-3</v>
      </c>
      <c r="D305" s="371">
        <v>0.05</v>
      </c>
      <c r="E305" s="371">
        <v>7.8E-2</v>
      </c>
      <c r="F305" s="371">
        <v>0.121</v>
      </c>
      <c r="G305" s="371">
        <v>0.65200000000000002</v>
      </c>
      <c r="H305" s="371">
        <v>1.123</v>
      </c>
      <c r="I305" s="371">
        <v>1.655</v>
      </c>
      <c r="J305" s="371">
        <v>2.3530000000000002</v>
      </c>
      <c r="K305" s="371">
        <v>3.0350000000000001</v>
      </c>
      <c r="L305" s="371">
        <v>3.7</v>
      </c>
      <c r="M305" s="371">
        <v>3.7330000000000001</v>
      </c>
      <c r="N305" s="371">
        <v>3.887</v>
      </c>
      <c r="O305" s="371">
        <v>4.0359999999999996</v>
      </c>
      <c r="P305" s="371">
        <v>4.1970000000000001</v>
      </c>
      <c r="Q305" s="371">
        <v>4.2619999999999996</v>
      </c>
      <c r="R305" s="371">
        <v>4.3</v>
      </c>
      <c r="S305" s="371">
        <v>5</v>
      </c>
      <c r="T305" s="371">
        <v>5</v>
      </c>
      <c r="U305" s="371">
        <v>5</v>
      </c>
      <c r="V305" s="371">
        <v>5</v>
      </c>
      <c r="W305" s="371">
        <v>5</v>
      </c>
      <c r="X305" s="371">
        <v>5</v>
      </c>
      <c r="Y305" s="381">
        <v>1000</v>
      </c>
    </row>
    <row r="306" spans="1:25" x14ac:dyDescent="0.2">
      <c r="A306" s="378" t="s">
        <v>34</v>
      </c>
      <c r="B306" s="372">
        <v>0</v>
      </c>
      <c r="C306" s="373">
        <v>203.87700000000001</v>
      </c>
      <c r="D306" s="373">
        <v>2362.8789999999999</v>
      </c>
      <c r="E306" s="373">
        <v>3946.8449999999998</v>
      </c>
      <c r="F306" s="373">
        <v>4281.4120000000003</v>
      </c>
      <c r="G306" s="373">
        <v>4370.2809999999999</v>
      </c>
      <c r="H306" s="373">
        <v>4453.9229999999998</v>
      </c>
      <c r="I306" s="373">
        <v>4772.8069999999998</v>
      </c>
      <c r="J306" s="373">
        <v>4621.2060000000001</v>
      </c>
      <c r="K306" s="373">
        <v>4511.4269999999997</v>
      </c>
      <c r="L306" s="373">
        <v>4375.509</v>
      </c>
      <c r="M306" s="373">
        <v>4182.0870000000004</v>
      </c>
      <c r="N306" s="373">
        <v>2969.2820000000002</v>
      </c>
      <c r="O306" s="373">
        <v>1589.193</v>
      </c>
      <c r="P306" s="373">
        <v>533.21600000000001</v>
      </c>
      <c r="Q306" s="373">
        <v>240.47</v>
      </c>
      <c r="R306" s="373">
        <v>0</v>
      </c>
      <c r="S306" s="373">
        <v>0</v>
      </c>
      <c r="T306" s="373">
        <v>0</v>
      </c>
      <c r="U306" s="373">
        <v>0</v>
      </c>
      <c r="V306" s="373">
        <v>0</v>
      </c>
      <c r="W306" s="373">
        <v>0</v>
      </c>
      <c r="X306" s="373">
        <v>0</v>
      </c>
      <c r="Y306" s="382">
        <v>0</v>
      </c>
    </row>
    <row r="307" spans="1:25" ht="13.5" thickBot="1" x14ac:dyDescent="0.25">
      <c r="A307" s="379" t="s">
        <v>117</v>
      </c>
      <c r="B307" s="374">
        <f t="shared" ref="B307" si="100">(C306+B306)*(C305-B305)/2</f>
        <v>0.30581550000000002</v>
      </c>
      <c r="C307" s="375">
        <f t="shared" ref="C307" si="101">(D306+C306)*(D305-C305)/2</f>
        <v>60.318765999999997</v>
      </c>
      <c r="D307" s="375">
        <f t="shared" ref="D307" si="102">(E306+D306)*(E305-D305)/2</f>
        <v>88.336135999999996</v>
      </c>
      <c r="E307" s="375">
        <f t="shared" ref="E307" si="103">(F306+E306)*(F305-E305)/2</f>
        <v>176.90752549999999</v>
      </c>
      <c r="F307" s="375">
        <f t="shared" ref="F307" si="104">(G306+F306)*(G305-F305)/2</f>
        <v>2297.0244914999998</v>
      </c>
      <c r="G307" s="375">
        <f t="shared" ref="G307" si="105">(H306+G306)*(H305-G305)/2</f>
        <v>2078.100042</v>
      </c>
      <c r="H307" s="375">
        <f t="shared" ref="H307" si="106">(I306+H306)*(I305-H305)/2</f>
        <v>2454.3101799999999</v>
      </c>
      <c r="I307" s="375">
        <f t="shared" ref="I307" si="107">(J306+I306)*(J305-I305)/2</f>
        <v>3278.5105370000006</v>
      </c>
      <c r="J307" s="375">
        <f t="shared" ref="J307" si="108">(K306+J306)*(K305-J305)/2</f>
        <v>3114.2278529999999</v>
      </c>
      <c r="K307" s="375">
        <f t="shared" ref="K307" si="109">(L306+K306)*(L305-K305)/2</f>
        <v>2954.9062199999998</v>
      </c>
      <c r="L307" s="375">
        <f t="shared" ref="L307" si="110">(M306+L306)*(M305-L305)/2</f>
        <v>141.20033399999969</v>
      </c>
      <c r="M307" s="375">
        <f t="shared" ref="M307" si="111">(N306+M306)*(N305-M305)/2</f>
        <v>550.65541299999973</v>
      </c>
      <c r="N307" s="375">
        <f t="shared" ref="N307" si="112">(O306+N306)*(O305-N305)/2</f>
        <v>339.60638749999907</v>
      </c>
      <c r="O307" s="375">
        <f t="shared" ref="O307" si="113">(P306+O306)*(P305-O305)/2</f>
        <v>170.85392450000052</v>
      </c>
      <c r="P307" s="375">
        <f t="shared" ref="P307" si="114">(Q306+P306)*(Q305-P305)/2</f>
        <v>25.14479499999981</v>
      </c>
      <c r="Q307" s="375">
        <f t="shared" ref="Q307" si="115">(R306+Q306)*(R305-Q305)/2</f>
        <v>4.568930000000031</v>
      </c>
      <c r="R307" s="375">
        <f t="shared" ref="R307" si="116">(S306+R306)*(S305-R305)/2</f>
        <v>0</v>
      </c>
      <c r="S307" s="375">
        <f t="shared" ref="S307" si="117">(T306+S306)*(T305-S305)/2</f>
        <v>0</v>
      </c>
      <c r="T307" s="375">
        <f t="shared" ref="T307" si="118">(U306+T306)*(U305-T305)/2</f>
        <v>0</v>
      </c>
      <c r="U307" s="375">
        <f t="shared" ref="U307" si="119">(V306+U306)*(V305-U305)/2</f>
        <v>0</v>
      </c>
      <c r="V307" s="375">
        <f t="shared" ref="V307" si="120">(W306+V306)*(W305-V305)/2</f>
        <v>0</v>
      </c>
      <c r="W307" s="375">
        <f t="shared" ref="W307" si="121">(X306+W306)*(X305-W305)/2</f>
        <v>0</v>
      </c>
      <c r="X307" s="375">
        <f t="shared" ref="X307" si="122">(Y306+X306)*(Y305-X305)/2</f>
        <v>0</v>
      </c>
      <c r="Y307" s="369"/>
    </row>
    <row r="308" spans="1:25" ht="13.5" thickBot="1" x14ac:dyDescent="0.2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3.5" thickBot="1" x14ac:dyDescent="0.25">
      <c r="A309" s="361" t="s">
        <v>45</v>
      </c>
      <c r="B309" s="359">
        <f>ROW(A309)</f>
        <v>309</v>
      </c>
      <c r="C309" s="363" t="s">
        <v>116</v>
      </c>
      <c r="D309" s="353">
        <f>SUM(B312:Y312)</f>
        <v>1E-3</v>
      </c>
      <c r="E309" s="363" t="s">
        <v>115</v>
      </c>
      <c r="F309" s="354">
        <f>D309/g/J309</f>
        <v>1.019367991845056</v>
      </c>
      <c r="G309" s="363" t="s">
        <v>57</v>
      </c>
      <c r="H309" s="64">
        <v>1E-4</v>
      </c>
      <c r="I309" s="363" t="s">
        <v>270</v>
      </c>
      <c r="J309" s="355">
        <f>H309-L309</f>
        <v>1E-4</v>
      </c>
      <c r="K309" s="363" t="s">
        <v>271</v>
      </c>
      <c r="L309" s="64">
        <v>0</v>
      </c>
      <c r="M309" s="363" t="s">
        <v>58</v>
      </c>
      <c r="N309" s="65">
        <v>0</v>
      </c>
      <c r="O309" s="363" t="s">
        <v>60</v>
      </c>
      <c r="P309" s="65">
        <v>0</v>
      </c>
      <c r="Q309" s="363" t="s">
        <v>61</v>
      </c>
      <c r="R309" s="65">
        <v>0</v>
      </c>
      <c r="S309" s="363" t="s">
        <v>62</v>
      </c>
      <c r="T309" s="65">
        <v>0</v>
      </c>
      <c r="U309" s="363" t="s">
        <v>55</v>
      </c>
      <c r="V309" s="66" t="s">
        <v>119</v>
      </c>
      <c r="W309" s="12"/>
      <c r="X309" s="12"/>
      <c r="Y309" s="12"/>
    </row>
    <row r="310" spans="1:25" x14ac:dyDescent="0.2">
      <c r="A310" s="362" t="s">
        <v>33</v>
      </c>
      <c r="B310" s="370">
        <v>0</v>
      </c>
      <c r="C310" s="371">
        <v>0.1</v>
      </c>
      <c r="D310" s="371">
        <v>0.2</v>
      </c>
      <c r="E310" s="371">
        <v>1</v>
      </c>
      <c r="F310" s="371">
        <v>1</v>
      </c>
      <c r="G310" s="371">
        <v>1</v>
      </c>
      <c r="H310" s="371">
        <v>1</v>
      </c>
      <c r="I310" s="371">
        <v>1</v>
      </c>
      <c r="J310" s="371">
        <v>1</v>
      </c>
      <c r="K310" s="371">
        <v>1</v>
      </c>
      <c r="L310" s="371">
        <v>1</v>
      </c>
      <c r="M310" s="371">
        <v>1</v>
      </c>
      <c r="N310" s="371">
        <v>1</v>
      </c>
      <c r="O310" s="371">
        <v>1</v>
      </c>
      <c r="P310" s="371">
        <v>1</v>
      </c>
      <c r="Q310" s="371">
        <v>1</v>
      </c>
      <c r="R310" s="371">
        <v>1</v>
      </c>
      <c r="S310" s="371">
        <v>1</v>
      </c>
      <c r="T310" s="371">
        <v>1</v>
      </c>
      <c r="U310" s="371">
        <v>1</v>
      </c>
      <c r="V310" s="371">
        <v>1</v>
      </c>
      <c r="W310" s="371">
        <v>1</v>
      </c>
      <c r="X310" s="371">
        <v>1</v>
      </c>
      <c r="Y310" s="381">
        <v>1000</v>
      </c>
    </row>
    <row r="311" spans="1:25" x14ac:dyDescent="0.2">
      <c r="A311" s="378" t="s">
        <v>34</v>
      </c>
      <c r="B311" s="372">
        <v>0</v>
      </c>
      <c r="C311" s="373">
        <v>0.01</v>
      </c>
      <c r="D311" s="373">
        <v>0</v>
      </c>
      <c r="E311" s="373">
        <v>0</v>
      </c>
      <c r="F311" s="373">
        <v>0</v>
      </c>
      <c r="G311" s="373">
        <v>0</v>
      </c>
      <c r="H311" s="373">
        <v>0</v>
      </c>
      <c r="I311" s="373">
        <v>0</v>
      </c>
      <c r="J311" s="373">
        <v>0</v>
      </c>
      <c r="K311" s="373">
        <v>0</v>
      </c>
      <c r="L311" s="373">
        <v>0</v>
      </c>
      <c r="M311" s="373">
        <v>0</v>
      </c>
      <c r="N311" s="373">
        <v>0</v>
      </c>
      <c r="O311" s="373">
        <v>0</v>
      </c>
      <c r="P311" s="373">
        <v>0</v>
      </c>
      <c r="Q311" s="373">
        <v>0</v>
      </c>
      <c r="R311" s="373">
        <v>0</v>
      </c>
      <c r="S311" s="373">
        <v>0</v>
      </c>
      <c r="T311" s="373">
        <v>0</v>
      </c>
      <c r="U311" s="373">
        <v>0</v>
      </c>
      <c r="V311" s="373">
        <v>0</v>
      </c>
      <c r="W311" s="373">
        <v>0</v>
      </c>
      <c r="X311" s="373">
        <v>0</v>
      </c>
      <c r="Y311" s="382">
        <v>0</v>
      </c>
    </row>
    <row r="312" spans="1:25" ht="13.5" thickBot="1" x14ac:dyDescent="0.25">
      <c r="A312" s="379" t="s">
        <v>117</v>
      </c>
      <c r="B312" s="374">
        <f t="shared" ref="B312:G312" si="123">(C311+B311)*(C310-B310)/2</f>
        <v>5.0000000000000001E-4</v>
      </c>
      <c r="C312" s="375">
        <f t="shared" si="123"/>
        <v>5.0000000000000001E-4</v>
      </c>
      <c r="D312" s="375">
        <f t="shared" si="123"/>
        <v>0</v>
      </c>
      <c r="E312" s="375">
        <f t="shared" si="123"/>
        <v>0</v>
      </c>
      <c r="F312" s="375">
        <f t="shared" si="123"/>
        <v>0</v>
      </c>
      <c r="G312" s="375">
        <f t="shared" si="123"/>
        <v>0</v>
      </c>
      <c r="H312" s="375">
        <f t="shared" ref="H312:V312" si="124">(I311+H311)*(I310-H310)/2</f>
        <v>0</v>
      </c>
      <c r="I312" s="375">
        <f t="shared" si="124"/>
        <v>0</v>
      </c>
      <c r="J312" s="375">
        <f>(K311+J311)*(K310-J310)/2</f>
        <v>0</v>
      </c>
      <c r="K312" s="375">
        <f t="shared" si="124"/>
        <v>0</v>
      </c>
      <c r="L312" s="375">
        <f t="shared" si="124"/>
        <v>0</v>
      </c>
      <c r="M312" s="375">
        <f t="shared" si="124"/>
        <v>0</v>
      </c>
      <c r="N312" s="375">
        <f t="shared" si="124"/>
        <v>0</v>
      </c>
      <c r="O312" s="375">
        <f t="shared" si="124"/>
        <v>0</v>
      </c>
      <c r="P312" s="375">
        <f t="shared" si="124"/>
        <v>0</v>
      </c>
      <c r="Q312" s="375">
        <f t="shared" si="124"/>
        <v>0</v>
      </c>
      <c r="R312" s="375">
        <f t="shared" si="124"/>
        <v>0</v>
      </c>
      <c r="S312" s="375">
        <f>(T311+S311)*(T310-S310)/2</f>
        <v>0</v>
      </c>
      <c r="T312" s="375">
        <f t="shared" si="124"/>
        <v>0</v>
      </c>
      <c r="U312" s="375">
        <f t="shared" si="124"/>
        <v>0</v>
      </c>
      <c r="V312" s="375">
        <f t="shared" si="124"/>
        <v>0</v>
      </c>
      <c r="W312" s="375">
        <f>(X311+W311)*(X310-W310)/2</f>
        <v>0</v>
      </c>
      <c r="X312" s="375">
        <f>(Y311+X311)*(Y310-X310)/2</f>
        <v>0</v>
      </c>
      <c r="Y312" s="369"/>
    </row>
    <row r="314" spans="1:25" x14ac:dyDescent="0.2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6" spans="1:25" x14ac:dyDescent="0.2">
      <c r="A316" s="397" t="str">
        <f>IF(Lang="Français","Liste des propu affichés :","Motor list (shown):")</f>
        <v>Liste des propu affichés :</v>
      </c>
      <c r="C316" s="643" t="s">
        <v>275</v>
      </c>
      <c r="D316" s="644"/>
      <c r="F316" s="643" t="s">
        <v>182</v>
      </c>
      <c r="G316" s="644"/>
      <c r="H316" s="12"/>
      <c r="I316" s="643" t="s">
        <v>397</v>
      </c>
      <c r="J316" s="644"/>
      <c r="K316" s="12"/>
      <c r="L316" s="643" t="s">
        <v>183</v>
      </c>
      <c r="M316" s="644"/>
      <c r="O316" s="643" t="s">
        <v>396</v>
      </c>
      <c r="P316" s="644"/>
      <c r="R316" s="643" t="s">
        <v>119</v>
      </c>
      <c r="S316" s="644"/>
    </row>
    <row r="317" spans="1:25" x14ac:dyDescent="0.2">
      <c r="A317" s="398" t="str">
        <f t="array" ref="A317:A346">IF(RIGHT(Type_fusee,1)=".",Liste_fusex, IF(LEFT(Type_fusee,4)="Mini",Liste_minif, IF(LEFT(Type_fusee,5)="Micro",Liste_µfu, IF(RIGHT(Type_fusee,1)=" ",Liste_H2O, IF(LEFT(Type_fusee,1)="R",Liste_RC, IF(LEFT(Type_fusee,1)=",",Liste_minifT))))))</f>
        <v>Barasinga (Pro54-5G C)</v>
      </c>
      <c r="C317" s="635" t="str">
        <f>A26</f>
        <v>H2O 1.5L 300g 6bar</v>
      </c>
      <c r="D317" s="636"/>
      <c r="F317" s="635" t="str">
        <f>A67</f>
        <v>µ-propu A8-3</v>
      </c>
      <c r="G317" s="636"/>
      <c r="H317" s="473"/>
      <c r="I317" s="633" t="str">
        <f>A148</f>
        <v>p29-1G 56F31</v>
      </c>
      <c r="J317" s="634"/>
      <c r="K317" s="473"/>
      <c r="L317" s="633" t="str">
        <f>A148</f>
        <v>p29-1G 56F31</v>
      </c>
      <c r="M317" s="634"/>
      <c r="O317" s="635" t="str">
        <f>A108</f>
        <v>p24-1G 24E22</v>
      </c>
      <c r="P317" s="636"/>
      <c r="R317" s="635" t="str">
        <f>A279</f>
        <v>Barasinga (Pro54-5G C)</v>
      </c>
      <c r="S317" s="636"/>
    </row>
    <row r="318" spans="1:25" x14ac:dyDescent="0.2">
      <c r="A318" s="398" t="str">
        <v>Orignal (Pro75-3G C)</v>
      </c>
      <c r="C318" s="635" t="str">
        <f>A31</f>
        <v>H2O 1.5L 450g 6bar</v>
      </c>
      <c r="D318" s="636"/>
      <c r="F318" s="635" t="str">
        <f>A72</f>
        <v>µ-propu B4-4</v>
      </c>
      <c r="G318" s="636"/>
      <c r="H318" s="473"/>
      <c r="I318" s="633" t="str">
        <f>A153</f>
        <v>p29-1G 56F120</v>
      </c>
      <c r="J318" s="634"/>
      <c r="K318" s="473"/>
      <c r="L318" s="633" t="str">
        <f>A153</f>
        <v>p29-1G 56F120</v>
      </c>
      <c r="M318" s="634"/>
      <c r="O318" s="635" t="str">
        <f>A113</f>
        <v>p24-1G 25E75 (Rufina)</v>
      </c>
      <c r="P318" s="636"/>
      <c r="R318" s="635" t="str">
        <f>A289</f>
        <v>Orignal (Pro75-3G C)</v>
      </c>
      <c r="S318" s="636"/>
    </row>
    <row r="319" spans="1:25" x14ac:dyDescent="0.2">
      <c r="A319" s="398" t="str">
        <v xml:space="preserve"> </v>
      </c>
      <c r="C319" s="635" t="str">
        <f>A36</f>
        <v>H2O 1.5L 600g 6bar</v>
      </c>
      <c r="D319" s="636"/>
      <c r="F319" s="635" t="str">
        <f>A77</f>
        <v>µ-propu C6-3</v>
      </c>
      <c r="G319" s="636"/>
      <c r="H319" s="473"/>
      <c r="I319" s="633" t="str">
        <f>A158</f>
        <v>p29-1G 57F59</v>
      </c>
      <c r="J319" s="634"/>
      <c r="K319" s="473"/>
      <c r="L319" s="633" t="str">
        <f>A158</f>
        <v>p29-1G 57F59</v>
      </c>
      <c r="M319" s="634"/>
      <c r="O319" s="635" t="str">
        <f>A118</f>
        <v>p24-1G 26E31</v>
      </c>
      <c r="P319" s="636"/>
      <c r="R319" s="635" t="s">
        <v>184</v>
      </c>
      <c r="S319" s="636"/>
    </row>
    <row r="320" spans="1:25" x14ac:dyDescent="0.2">
      <c r="A320" s="398" t="str">
        <v xml:space="preserve"> </v>
      </c>
      <c r="C320" s="635" t="str">
        <f>A41</f>
        <v>H2O 1.5L 750g 6bar</v>
      </c>
      <c r="D320" s="636"/>
      <c r="F320" s="635" t="str">
        <f>A82</f>
        <v>µ-propu C6-3 x2</v>
      </c>
      <c r="G320" s="636"/>
      <c r="H320" s="473"/>
      <c r="I320" s="633" t="str">
        <f>A183</f>
        <v>p24-3G 74F85</v>
      </c>
      <c r="J320" s="634"/>
      <c r="K320" s="473"/>
      <c r="L320" s="633" t="str">
        <f>A228</f>
        <v>p29-2G 116G126</v>
      </c>
      <c r="M320" s="634"/>
      <c r="O320" s="635" t="str">
        <f>A123</f>
        <v>p24-2G 50E51</v>
      </c>
      <c r="P320" s="636"/>
      <c r="R320" s="635" t="s">
        <v>184</v>
      </c>
      <c r="S320" s="636"/>
    </row>
    <row r="321" spans="1:19" x14ac:dyDescent="0.2">
      <c r="A321" s="398" t="str">
        <v xml:space="preserve"> </v>
      </c>
      <c r="C321" s="635" t="str">
        <f>A46</f>
        <v>H2O 2.0L 400g 6bar</v>
      </c>
      <c r="D321" s="636"/>
      <c r="F321" s="635" t="str">
        <f>A87</f>
        <v>µ-propu C6-3 x3</v>
      </c>
      <c r="G321" s="636"/>
      <c r="H321" s="473"/>
      <c r="I321" s="633" t="str">
        <f>A188</f>
        <v>p24-3G 75F51</v>
      </c>
      <c r="J321" s="634"/>
      <c r="K321" s="473"/>
      <c r="L321" s="633" t="s">
        <v>184</v>
      </c>
      <c r="M321" s="634"/>
      <c r="O321" s="635" t="str">
        <f>A128</f>
        <v>p24-1G 53E70</v>
      </c>
      <c r="P321" s="636"/>
      <c r="R321" s="635" t="s">
        <v>184</v>
      </c>
      <c r="S321" s="636"/>
    </row>
    <row r="322" spans="1:19" x14ac:dyDescent="0.2">
      <c r="A322" s="398" t="str">
        <v xml:space="preserve"> </v>
      </c>
      <c r="C322" s="635" t="str">
        <f>A51</f>
        <v>H2O 2.0L 600g 6bar</v>
      </c>
      <c r="D322" s="636"/>
      <c r="F322" s="635" t="s">
        <v>184</v>
      </c>
      <c r="G322" s="636"/>
      <c r="H322" s="473"/>
      <c r="I322" s="633" t="s">
        <v>184</v>
      </c>
      <c r="J322" s="634"/>
      <c r="K322" s="473"/>
      <c r="L322" s="635" t="str">
        <f>A198</f>
        <v>Pandora (Pro24-6G BS)</v>
      </c>
      <c r="M322" s="636"/>
      <c r="O322" s="635" t="str">
        <f>A133</f>
        <v>p29-1G 41F36</v>
      </c>
      <c r="P322" s="636"/>
      <c r="R322" s="635" t="s">
        <v>184</v>
      </c>
      <c r="S322" s="636"/>
    </row>
    <row r="323" spans="1:19" x14ac:dyDescent="0.2">
      <c r="A323" s="398" t="str">
        <v xml:space="preserve"> </v>
      </c>
      <c r="C323" s="635" t="str">
        <f>A56</f>
        <v>H2O 2.0L 800g 6bar</v>
      </c>
      <c r="D323" s="636"/>
      <c r="F323" s="635" t="s">
        <v>184</v>
      </c>
      <c r="G323" s="636"/>
      <c r="H323" s="473"/>
      <c r="I323" s="633" t="s">
        <v>184</v>
      </c>
      <c r="J323" s="634"/>
      <c r="K323" s="473"/>
      <c r="L323" s="635" t="s">
        <v>184</v>
      </c>
      <c r="M323" s="636"/>
      <c r="O323" s="635" t="str">
        <f>A138</f>
        <v>p29-1G 51F36</v>
      </c>
      <c r="P323" s="636"/>
      <c r="R323" s="635" t="s">
        <v>184</v>
      </c>
      <c r="S323" s="636"/>
    </row>
    <row r="324" spans="1:19" x14ac:dyDescent="0.2">
      <c r="A324" s="398" t="str">
        <v xml:space="preserve"> </v>
      </c>
      <c r="C324" s="635" t="str">
        <f>A61</f>
        <v>H2O 2.0L 1000g 6bar</v>
      </c>
      <c r="D324" s="636"/>
      <c r="F324" s="635" t="s">
        <v>184</v>
      </c>
      <c r="G324" s="636"/>
      <c r="H324" s="473"/>
      <c r="I324" s="633" t="s">
        <v>184</v>
      </c>
      <c r="J324" s="634"/>
      <c r="K324" s="473"/>
      <c r="L324" s="635" t="str">
        <f>A92</f>
        <v>Klima D9-7</v>
      </c>
      <c r="M324" s="636"/>
      <c r="O324" s="635" t="str">
        <f>A143</f>
        <v>p29-1G 55F29</v>
      </c>
      <c r="P324" s="636"/>
      <c r="R324" s="635" t="s">
        <v>184</v>
      </c>
      <c r="S324" s="636"/>
    </row>
    <row r="325" spans="1:19" x14ac:dyDescent="0.2">
      <c r="A325" s="398" t="str">
        <v xml:space="preserve"> </v>
      </c>
      <c r="C325" s="635" t="s">
        <v>184</v>
      </c>
      <c r="D325" s="636"/>
      <c r="F325" s="635" t="s">
        <v>184</v>
      </c>
      <c r="G325" s="636"/>
      <c r="H325" s="473"/>
      <c r="I325" s="633" t="s">
        <v>184</v>
      </c>
      <c r="J325" s="634"/>
      <c r="K325" s="473"/>
      <c r="L325" s="635" t="str">
        <f>A97</f>
        <v>Klima D9-7 x2</v>
      </c>
      <c r="M325" s="636"/>
      <c r="O325" s="635" t="str">
        <f>A153</f>
        <v>p29-1G 56F120</v>
      </c>
      <c r="P325" s="636"/>
      <c r="R325" s="635" t="s">
        <v>184</v>
      </c>
      <c r="S325" s="636"/>
    </row>
    <row r="326" spans="1:19" x14ac:dyDescent="0.2">
      <c r="A326" s="398" t="str">
        <v xml:space="preserve"> </v>
      </c>
      <c r="C326" s="635" t="s">
        <v>184</v>
      </c>
      <c r="D326" s="636"/>
      <c r="F326" s="635" t="s">
        <v>184</v>
      </c>
      <c r="G326" s="636"/>
      <c r="H326" s="473"/>
      <c r="I326" s="633" t="s">
        <v>184</v>
      </c>
      <c r="J326" s="634"/>
      <c r="K326" s="473"/>
      <c r="L326" s="635" t="str">
        <f>A102</f>
        <v>Klima D9-7 x3</v>
      </c>
      <c r="M326" s="636"/>
      <c r="O326" s="635" t="str">
        <f>A158</f>
        <v>p29-1G 57F59</v>
      </c>
      <c r="P326" s="636"/>
      <c r="R326" s="635" t="s">
        <v>184</v>
      </c>
      <c r="S326" s="636"/>
    </row>
    <row r="327" spans="1:19" x14ac:dyDescent="0.2">
      <c r="A327" s="398" t="str">
        <v xml:space="preserve"> </v>
      </c>
      <c r="C327" s="635" t="s">
        <v>184</v>
      </c>
      <c r="D327" s="636"/>
      <c r="F327" s="635" t="s">
        <v>184</v>
      </c>
      <c r="G327" s="636"/>
      <c r="H327" s="473"/>
      <c r="I327" s="633" t="s">
        <v>184</v>
      </c>
      <c r="J327" s="634"/>
      <c r="K327" s="473"/>
      <c r="L327" s="635" t="s">
        <v>184</v>
      </c>
      <c r="M327" s="636"/>
      <c r="O327" s="635" t="str">
        <f>A163</f>
        <v>p24-3G 60F50</v>
      </c>
      <c r="P327" s="636"/>
      <c r="R327" s="635" t="s">
        <v>184</v>
      </c>
      <c r="S327" s="636"/>
    </row>
    <row r="328" spans="1:19" x14ac:dyDescent="0.2">
      <c r="A328" s="398" t="str">
        <v xml:space="preserve"> </v>
      </c>
      <c r="C328" s="635" t="s">
        <v>184</v>
      </c>
      <c r="D328" s="636"/>
      <c r="F328" s="635" t="s">
        <v>184</v>
      </c>
      <c r="G328" s="636"/>
      <c r="H328" s="473"/>
      <c r="I328" s="633" t="s">
        <v>184</v>
      </c>
      <c r="J328" s="634"/>
      <c r="K328" s="473"/>
      <c r="L328" s="635" t="s">
        <v>184</v>
      </c>
      <c r="M328" s="636"/>
      <c r="O328" s="635" t="str">
        <f>A168</f>
        <v>p24-3G 68F79</v>
      </c>
      <c r="P328" s="636"/>
      <c r="R328" s="635" t="s">
        <v>184</v>
      </c>
      <c r="S328" s="636"/>
    </row>
    <row r="329" spans="1:19" x14ac:dyDescent="0.2">
      <c r="A329" s="398" t="str">
        <v xml:space="preserve"> </v>
      </c>
      <c r="C329" s="635" t="s">
        <v>184</v>
      </c>
      <c r="D329" s="636"/>
      <c r="F329" s="635" t="s">
        <v>184</v>
      </c>
      <c r="G329" s="636"/>
      <c r="H329" s="473"/>
      <c r="I329" s="633" t="s">
        <v>184</v>
      </c>
      <c r="J329" s="634"/>
      <c r="K329" s="473"/>
      <c r="L329" s="635" t="s">
        <v>184</v>
      </c>
      <c r="M329" s="636"/>
      <c r="O329" s="635" t="str">
        <f>A173</f>
        <v>p24-3G 68F240</v>
      </c>
      <c r="P329" s="636"/>
      <c r="R329" s="635" t="s">
        <v>184</v>
      </c>
      <c r="S329" s="636"/>
    </row>
    <row r="330" spans="1:19" x14ac:dyDescent="0.2">
      <c r="A330" s="398" t="str">
        <v xml:space="preserve"> </v>
      </c>
      <c r="C330" s="635" t="s">
        <v>184</v>
      </c>
      <c r="D330" s="636"/>
      <c r="F330" s="635" t="s">
        <v>184</v>
      </c>
      <c r="G330" s="636"/>
      <c r="H330" s="473"/>
      <c r="I330" s="633" t="s">
        <v>184</v>
      </c>
      <c r="J330" s="634"/>
      <c r="K330" s="473"/>
      <c r="L330" s="635" t="s">
        <v>184</v>
      </c>
      <c r="M330" s="636"/>
      <c r="O330" s="635" t="str">
        <f>A178</f>
        <v>p24-3G 73F30</v>
      </c>
      <c r="P330" s="636"/>
      <c r="R330" s="635" t="s">
        <v>184</v>
      </c>
      <c r="S330" s="636"/>
    </row>
    <row r="331" spans="1:19" x14ac:dyDescent="0.2">
      <c r="A331" s="398" t="str">
        <v xml:space="preserve"> </v>
      </c>
      <c r="C331" s="635" t="s">
        <v>184</v>
      </c>
      <c r="D331" s="636"/>
      <c r="F331" s="635" t="s">
        <v>184</v>
      </c>
      <c r="G331" s="636"/>
      <c r="H331" s="473"/>
      <c r="I331" s="641" t="s">
        <v>184</v>
      </c>
      <c r="J331" s="642"/>
      <c r="K331" s="473"/>
      <c r="L331" s="635" t="s">
        <v>184</v>
      </c>
      <c r="M331" s="636"/>
      <c r="O331" s="635" t="str">
        <f>A183</f>
        <v>p24-3G 74F85</v>
      </c>
      <c r="P331" s="636"/>
      <c r="R331" s="635" t="s">
        <v>184</v>
      </c>
      <c r="S331" s="636"/>
    </row>
    <row r="332" spans="1:19" x14ac:dyDescent="0.2">
      <c r="A332" s="462" t="str">
        <v xml:space="preserve"> </v>
      </c>
      <c r="C332" s="638" t="s">
        <v>184</v>
      </c>
      <c r="D332" s="639"/>
      <c r="F332" s="638" t="s">
        <v>184</v>
      </c>
      <c r="G332" s="639"/>
      <c r="H332" s="473"/>
      <c r="I332" s="638" t="s">
        <v>184</v>
      </c>
      <c r="J332" s="639"/>
      <c r="K332" s="473"/>
      <c r="L332" s="638" t="s">
        <v>184</v>
      </c>
      <c r="M332" s="639"/>
      <c r="O332" s="635" t="str">
        <f>A188</f>
        <v>p24-3G 75F51</v>
      </c>
      <c r="P332" s="636"/>
      <c r="R332" s="638" t="s">
        <v>184</v>
      </c>
      <c r="S332" s="639"/>
    </row>
    <row r="333" spans="1:19" x14ac:dyDescent="0.2">
      <c r="A333" s="398" t="str">
        <v xml:space="preserve"> </v>
      </c>
      <c r="C333" s="645" t="s">
        <v>184</v>
      </c>
      <c r="D333" s="645"/>
      <c r="F333" s="645" t="s">
        <v>184</v>
      </c>
      <c r="G333" s="645"/>
      <c r="I333" s="632" t="s">
        <v>184</v>
      </c>
      <c r="J333" s="632"/>
      <c r="L333" s="632" t="s">
        <v>184</v>
      </c>
      <c r="M333" s="632"/>
      <c r="O333" s="635" t="str">
        <f>A213</f>
        <v>p29-2G 84G88</v>
      </c>
      <c r="P333" s="636"/>
      <c r="R333" s="640" t="s">
        <v>184</v>
      </c>
      <c r="S333" s="640"/>
    </row>
    <row r="334" spans="1:19" x14ac:dyDescent="0.2">
      <c r="A334" s="398" t="str">
        <v>Isard</v>
      </c>
      <c r="C334" s="629" t="s">
        <v>184</v>
      </c>
      <c r="D334" s="629"/>
      <c r="F334" s="629" t="s">
        <v>184</v>
      </c>
      <c r="G334" s="629"/>
      <c r="I334" s="632" t="s">
        <v>184</v>
      </c>
      <c r="J334" s="632"/>
      <c r="L334" s="632" t="s">
        <v>184</v>
      </c>
      <c r="M334" s="632"/>
      <c r="O334" s="635" t="str">
        <f>A218</f>
        <v>p29-2G 93G80</v>
      </c>
      <c r="P334" s="636"/>
      <c r="R334" s="637" t="str">
        <f>A269</f>
        <v>Isard</v>
      </c>
      <c r="S334" s="637"/>
    </row>
    <row r="335" spans="1:19" x14ac:dyDescent="0.2">
      <c r="A335" s="398" t="str">
        <v>Chamois</v>
      </c>
      <c r="C335" s="629" t="s">
        <v>184</v>
      </c>
      <c r="D335" s="629"/>
      <c r="F335" s="629" t="s">
        <v>184</v>
      </c>
      <c r="G335" s="629"/>
      <c r="I335" s="632" t="s">
        <v>184</v>
      </c>
      <c r="J335" s="632"/>
      <c r="L335" s="632" t="s">
        <v>184</v>
      </c>
      <c r="M335" s="632"/>
      <c r="O335" s="635" t="str">
        <f>A223</f>
        <v>p29-2G 110G250</v>
      </c>
      <c r="P335" s="636"/>
      <c r="R335" s="637" t="str">
        <f>A274</f>
        <v>Chamois</v>
      </c>
      <c r="S335" s="637"/>
    </row>
    <row r="336" spans="1:19" x14ac:dyDescent="0.2">
      <c r="A336" s="398" t="str">
        <v>Pro75-2G</v>
      </c>
      <c r="C336" s="629" t="s">
        <v>184</v>
      </c>
      <c r="D336" s="629"/>
      <c r="F336" s="629" t="s">
        <v>184</v>
      </c>
      <c r="G336" s="629"/>
      <c r="I336" s="632" t="s">
        <v>184</v>
      </c>
      <c r="J336" s="632"/>
      <c r="L336" s="632" t="s">
        <v>184</v>
      </c>
      <c r="M336" s="632"/>
      <c r="O336" s="635" t="str">
        <f>A228</f>
        <v>p29-2G 116G126</v>
      </c>
      <c r="P336" s="636"/>
      <c r="R336" s="637" t="str">
        <f>A284</f>
        <v>Pro75-2G</v>
      </c>
      <c r="S336" s="637"/>
    </row>
    <row r="337" spans="1:19" x14ac:dyDescent="0.2">
      <c r="A337" s="398" t="str">
        <v>Pro98-2G WT</v>
      </c>
      <c r="C337" s="629" t="s">
        <v>184</v>
      </c>
      <c r="D337" s="629"/>
      <c r="F337" s="629" t="s">
        <v>184</v>
      </c>
      <c r="G337" s="629"/>
      <c r="I337" s="632" t="s">
        <v>184</v>
      </c>
      <c r="J337" s="632"/>
      <c r="L337" s="632" t="s">
        <v>184</v>
      </c>
      <c r="M337" s="632"/>
      <c r="O337" s="635" t="str">
        <f>A233</f>
        <v>p29-3G 125G131</v>
      </c>
      <c r="P337" s="636"/>
      <c r="R337" s="637" t="str">
        <f>A294</f>
        <v>Pro98-2G WT</v>
      </c>
      <c r="S337" s="637"/>
    </row>
    <row r="338" spans="1:19" x14ac:dyDescent="0.2">
      <c r="A338" s="398" t="str">
        <v>Pro98-3G WT</v>
      </c>
      <c r="C338" s="629" t="s">
        <v>184</v>
      </c>
      <c r="D338" s="629"/>
      <c r="F338" s="629" t="s">
        <v>184</v>
      </c>
      <c r="G338" s="629"/>
      <c r="I338" s="632" t="s">
        <v>184</v>
      </c>
      <c r="J338" s="632"/>
      <c r="L338" s="632" t="s">
        <v>184</v>
      </c>
      <c r="M338" s="632"/>
      <c r="O338" s="635" t="str">
        <f>A248</f>
        <v>p38-1G 128G185</v>
      </c>
      <c r="P338" s="636"/>
      <c r="R338" s="637" t="str">
        <f>A299</f>
        <v>Pro98-3G WT</v>
      </c>
      <c r="S338" s="637"/>
    </row>
    <row r="339" spans="1:19" x14ac:dyDescent="0.2">
      <c r="A339" s="398" t="str">
        <v>Aucun (2e ét. inerte)</v>
      </c>
      <c r="C339" s="629" t="s">
        <v>184</v>
      </c>
      <c r="D339" s="629"/>
      <c r="F339" s="629" t="s">
        <v>184</v>
      </c>
      <c r="G339" s="629"/>
      <c r="I339" s="632" t="s">
        <v>184</v>
      </c>
      <c r="J339" s="632"/>
      <c r="L339" s="632" t="s">
        <v>184</v>
      </c>
      <c r="M339" s="632"/>
      <c r="O339" s="635" t="str">
        <f>A243</f>
        <v>p38-1G 137G58</v>
      </c>
      <c r="P339" s="636"/>
      <c r="R339" s="637" t="str">
        <f>A309</f>
        <v>Aucun (2e ét. inerte)</v>
      </c>
      <c r="S339" s="637"/>
    </row>
    <row r="340" spans="1:19" x14ac:dyDescent="0.2">
      <c r="A340" s="398" t="str">
        <v xml:space="preserve"> </v>
      </c>
      <c r="C340" s="629" t="s">
        <v>184</v>
      </c>
      <c r="D340" s="629"/>
      <c r="F340" s="629" t="s">
        <v>184</v>
      </c>
      <c r="G340" s="629"/>
      <c r="I340" s="632" t="s">
        <v>184</v>
      </c>
      <c r="J340" s="632"/>
      <c r="L340" s="632" t="s">
        <v>184</v>
      </c>
      <c r="M340" s="632"/>
      <c r="O340" s="635" t="str">
        <f>A253</f>
        <v>p38-1G 141G78</v>
      </c>
      <c r="P340" s="636"/>
      <c r="R340" s="632" t="s">
        <v>184</v>
      </c>
      <c r="S340" s="632"/>
    </row>
    <row r="341" spans="1:19" x14ac:dyDescent="0.2">
      <c r="A341" s="398" t="str">
        <v xml:space="preserve"> </v>
      </c>
      <c r="C341" s="629" t="s">
        <v>184</v>
      </c>
      <c r="D341" s="629"/>
      <c r="F341" s="629" t="s">
        <v>184</v>
      </c>
      <c r="G341" s="629"/>
      <c r="I341" s="629" t="s">
        <v>184</v>
      </c>
      <c r="J341" s="629"/>
      <c r="L341" s="632" t="s">
        <v>184</v>
      </c>
      <c r="M341" s="632"/>
      <c r="O341" s="635" t="str">
        <f>A193</f>
        <v>p24-6G 140G145 PK</v>
      </c>
      <c r="P341" s="636"/>
      <c r="R341" s="629" t="s">
        <v>184</v>
      </c>
      <c r="S341" s="629"/>
    </row>
    <row r="342" spans="1:19" x14ac:dyDescent="0.2">
      <c r="A342" s="398" t="str">
        <v xml:space="preserve"> </v>
      </c>
      <c r="C342" s="629" t="s">
        <v>184</v>
      </c>
      <c r="D342" s="629"/>
      <c r="F342" s="629" t="s">
        <v>184</v>
      </c>
      <c r="G342" s="629"/>
      <c r="I342" s="629" t="s">
        <v>184</v>
      </c>
      <c r="J342" s="629"/>
      <c r="L342" s="632" t="s">
        <v>184</v>
      </c>
      <c r="M342" s="632"/>
      <c r="O342" s="635" t="str">
        <f>A198</f>
        <v>Pandora (Pro24-6G BS)</v>
      </c>
      <c r="P342" s="636"/>
      <c r="R342" s="629" t="s">
        <v>184</v>
      </c>
      <c r="S342" s="629"/>
    </row>
    <row r="343" spans="1:19" x14ac:dyDescent="0.2">
      <c r="A343" s="398" t="str">
        <v xml:space="preserve"> </v>
      </c>
      <c r="C343" s="629" t="s">
        <v>184</v>
      </c>
      <c r="D343" s="629"/>
      <c r="F343" s="629" t="s">
        <v>184</v>
      </c>
      <c r="G343" s="629"/>
      <c r="I343" s="629" t="s">
        <v>184</v>
      </c>
      <c r="J343" s="629"/>
      <c r="L343" s="629" t="s">
        <v>184</v>
      </c>
      <c r="M343" s="629"/>
      <c r="O343" s="633" t="str">
        <f>A203</f>
        <v>p24-6G 142G117 WT</v>
      </c>
      <c r="P343" s="634"/>
      <c r="R343" s="629" t="s">
        <v>184</v>
      </c>
      <c r="S343" s="629"/>
    </row>
    <row r="344" spans="1:19" x14ac:dyDescent="0.2">
      <c r="A344" s="398" t="str">
        <v xml:space="preserve"> </v>
      </c>
      <c r="C344" s="629" t="s">
        <v>184</v>
      </c>
      <c r="D344" s="629"/>
      <c r="F344" s="629" t="s">
        <v>184</v>
      </c>
      <c r="G344" s="629"/>
      <c r="I344" s="629" t="s">
        <v>184</v>
      </c>
      <c r="J344" s="629"/>
      <c r="L344" s="629" t="s">
        <v>184</v>
      </c>
      <c r="M344" s="629"/>
      <c r="O344" s="633" t="str">
        <f>A208</f>
        <v>p24-6G 139G107 DT</v>
      </c>
      <c r="P344" s="634"/>
      <c r="R344" s="629" t="s">
        <v>184</v>
      </c>
      <c r="S344" s="629"/>
    </row>
    <row r="345" spans="1:19" x14ac:dyDescent="0.2">
      <c r="A345" s="398" t="str">
        <v xml:space="preserve"> </v>
      </c>
      <c r="C345" s="629" t="s">
        <v>184</v>
      </c>
      <c r="D345" s="629"/>
      <c r="F345" s="629" t="s">
        <v>184</v>
      </c>
      <c r="G345" s="629"/>
      <c r="I345" s="629" t="s">
        <v>184</v>
      </c>
      <c r="J345" s="629"/>
      <c r="L345" s="629" t="s">
        <v>184</v>
      </c>
      <c r="M345" s="629"/>
      <c r="O345" s="633" t="str">
        <f>A263</f>
        <v>Cariacou</v>
      </c>
      <c r="P345" s="634"/>
      <c r="R345" s="629" t="s">
        <v>184</v>
      </c>
      <c r="S345" s="629"/>
    </row>
    <row r="346" spans="1:19" x14ac:dyDescent="0.2">
      <c r="A346" s="474" t="str">
        <v xml:space="preserve"> </v>
      </c>
      <c r="C346" s="629" t="s">
        <v>184</v>
      </c>
      <c r="D346" s="629"/>
      <c r="F346" s="629" t="s">
        <v>184</v>
      </c>
      <c r="G346" s="629"/>
      <c r="I346" s="629" t="s">
        <v>184</v>
      </c>
      <c r="J346" s="629"/>
      <c r="L346" s="629" t="s">
        <v>184</v>
      </c>
      <c r="M346" s="629"/>
      <c r="O346" s="630" t="str">
        <f>A258</f>
        <v>Wapiti</v>
      </c>
      <c r="P346" s="631"/>
      <c r="R346" s="629" t="s">
        <v>184</v>
      </c>
      <c r="S346" s="629"/>
    </row>
  </sheetData>
  <sheetProtection password="C6AC" sheet="1" objects="1" scenarios="1"/>
  <dataConsolidate/>
  <mergeCells count="186">
    <mergeCell ref="C333:D333"/>
    <mergeCell ref="L343:M343"/>
    <mergeCell ref="L344:M344"/>
    <mergeCell ref="F338:G338"/>
    <mergeCell ref="C341:D341"/>
    <mergeCell ref="C342:D342"/>
    <mergeCell ref="C343:D343"/>
    <mergeCell ref="I342:J342"/>
    <mergeCell ref="I343:J343"/>
    <mergeCell ref="L341:M341"/>
    <mergeCell ref="L342:M342"/>
    <mergeCell ref="C344:D344"/>
    <mergeCell ref="L338:M338"/>
    <mergeCell ref="F333:G333"/>
    <mergeCell ref="L335:M335"/>
    <mergeCell ref="L336:M336"/>
    <mergeCell ref="I333:J333"/>
    <mergeCell ref="I334:J334"/>
    <mergeCell ref="L339:M339"/>
    <mergeCell ref="L340:M340"/>
    <mergeCell ref="I340:J340"/>
    <mergeCell ref="I339:J339"/>
    <mergeCell ref="F334:G334"/>
    <mergeCell ref="F335:G335"/>
    <mergeCell ref="C345:D345"/>
    <mergeCell ref="C346:D346"/>
    <mergeCell ref="C335:D335"/>
    <mergeCell ref="C336:D336"/>
    <mergeCell ref="C337:D337"/>
    <mergeCell ref="C338:D338"/>
    <mergeCell ref="C339:D339"/>
    <mergeCell ref="C340:D340"/>
    <mergeCell ref="C334:D334"/>
    <mergeCell ref="R316:S316"/>
    <mergeCell ref="R317:S317"/>
    <mergeCell ref="R318:S318"/>
    <mergeCell ref="R319:S319"/>
    <mergeCell ref="R320:S320"/>
    <mergeCell ref="C328:D328"/>
    <mergeCell ref="O328:P328"/>
    <mergeCell ref="R327:S327"/>
    <mergeCell ref="R326:S326"/>
    <mergeCell ref="C321:D321"/>
    <mergeCell ref="O321:P321"/>
    <mergeCell ref="R321:S321"/>
    <mergeCell ref="R325:S325"/>
    <mergeCell ref="R324:S324"/>
    <mergeCell ref="R323:S323"/>
    <mergeCell ref="I321:J321"/>
    <mergeCell ref="I322:J322"/>
    <mergeCell ref="I323:J323"/>
    <mergeCell ref="I324:J324"/>
    <mergeCell ref="I325:J325"/>
    <mergeCell ref="I326:J326"/>
    <mergeCell ref="I327:J327"/>
    <mergeCell ref="L323:M323"/>
    <mergeCell ref="L324:M324"/>
    <mergeCell ref="L317:M317"/>
    <mergeCell ref="C332:D332"/>
    <mergeCell ref="R322:S322"/>
    <mergeCell ref="R328:S328"/>
    <mergeCell ref="R332:S332"/>
    <mergeCell ref="F328:G328"/>
    <mergeCell ref="F322:G322"/>
    <mergeCell ref="O326:P326"/>
    <mergeCell ref="F323:G323"/>
    <mergeCell ref="O331:P331"/>
    <mergeCell ref="R330:S330"/>
    <mergeCell ref="R329:S329"/>
    <mergeCell ref="O329:P329"/>
    <mergeCell ref="R331:S331"/>
    <mergeCell ref="L331:M331"/>
    <mergeCell ref="L332:M332"/>
    <mergeCell ref="L329:M329"/>
    <mergeCell ref="L330:M330"/>
    <mergeCell ref="L325:M325"/>
    <mergeCell ref="C329:D329"/>
    <mergeCell ref="C330:D330"/>
    <mergeCell ref="I332:J332"/>
    <mergeCell ref="C331:D331"/>
    <mergeCell ref="F325:G325"/>
    <mergeCell ref="L316:M316"/>
    <mergeCell ref="C327:D327"/>
    <mergeCell ref="C326:D326"/>
    <mergeCell ref="C325:D325"/>
    <mergeCell ref="C324:D324"/>
    <mergeCell ref="C323:D323"/>
    <mergeCell ref="C322:D322"/>
    <mergeCell ref="O316:P316"/>
    <mergeCell ref="F318:G318"/>
    <mergeCell ref="F317:G317"/>
    <mergeCell ref="O318:P318"/>
    <mergeCell ref="O317:P317"/>
    <mergeCell ref="L318:M318"/>
    <mergeCell ref="C316:D316"/>
    <mergeCell ref="C317:D317"/>
    <mergeCell ref="C318:D318"/>
    <mergeCell ref="C319:D319"/>
    <mergeCell ref="C320:D320"/>
    <mergeCell ref="F316:G316"/>
    <mergeCell ref="L320:M320"/>
    <mergeCell ref="I316:J316"/>
    <mergeCell ref="I317:J317"/>
    <mergeCell ref="I318:J318"/>
    <mergeCell ref="I319:J319"/>
    <mergeCell ref="F331:G331"/>
    <mergeCell ref="F324:G324"/>
    <mergeCell ref="F321:G321"/>
    <mergeCell ref="F320:G320"/>
    <mergeCell ref="O323:P323"/>
    <mergeCell ref="O320:P320"/>
    <mergeCell ref="O319:P319"/>
    <mergeCell ref="O324:P324"/>
    <mergeCell ref="F319:G319"/>
    <mergeCell ref="O322:P322"/>
    <mergeCell ref="I320:J320"/>
    <mergeCell ref="L319:M319"/>
    <mergeCell ref="L326:M326"/>
    <mergeCell ref="L327:M327"/>
    <mergeCell ref="L321:M321"/>
    <mergeCell ref="L322:M322"/>
    <mergeCell ref="O325:P325"/>
    <mergeCell ref="O330:P330"/>
    <mergeCell ref="F327:G327"/>
    <mergeCell ref="F326:G326"/>
    <mergeCell ref="F336:G336"/>
    <mergeCell ref="F337:G337"/>
    <mergeCell ref="O327:P327"/>
    <mergeCell ref="O333:P333"/>
    <mergeCell ref="L328:M328"/>
    <mergeCell ref="I336:J336"/>
    <mergeCell ref="O332:P332"/>
    <mergeCell ref="L333:M333"/>
    <mergeCell ref="I341:J341"/>
    <mergeCell ref="O337:P337"/>
    <mergeCell ref="F339:G339"/>
    <mergeCell ref="F340:G340"/>
    <mergeCell ref="O338:P338"/>
    <mergeCell ref="O336:P336"/>
    <mergeCell ref="I328:J328"/>
    <mergeCell ref="I329:J329"/>
    <mergeCell ref="I330:J330"/>
    <mergeCell ref="I331:J331"/>
    <mergeCell ref="I335:J335"/>
    <mergeCell ref="L337:M337"/>
    <mergeCell ref="O341:P341"/>
    <mergeCell ref="L334:M334"/>
    <mergeCell ref="F329:G329"/>
    <mergeCell ref="F330:G330"/>
    <mergeCell ref="R340:S340"/>
    <mergeCell ref="R341:S341"/>
    <mergeCell ref="R343:S343"/>
    <mergeCell ref="R344:S344"/>
    <mergeCell ref="R345:S345"/>
    <mergeCell ref="O345:P345"/>
    <mergeCell ref="O340:P340"/>
    <mergeCell ref="R339:S339"/>
    <mergeCell ref="F332:G332"/>
    <mergeCell ref="O343:P343"/>
    <mergeCell ref="R338:S338"/>
    <mergeCell ref="R336:S336"/>
    <mergeCell ref="R337:S337"/>
    <mergeCell ref="R334:S334"/>
    <mergeCell ref="F341:G341"/>
    <mergeCell ref="O342:P342"/>
    <mergeCell ref="O335:P335"/>
    <mergeCell ref="O334:P334"/>
    <mergeCell ref="O339:P339"/>
    <mergeCell ref="O344:P344"/>
    <mergeCell ref="R335:S335"/>
    <mergeCell ref="R333:S333"/>
    <mergeCell ref="I337:J337"/>
    <mergeCell ref="I338:J338"/>
    <mergeCell ref="R346:S346"/>
    <mergeCell ref="R342:S342"/>
    <mergeCell ref="F342:G342"/>
    <mergeCell ref="F343:G343"/>
    <mergeCell ref="F344:G344"/>
    <mergeCell ref="F345:G345"/>
    <mergeCell ref="F346:G346"/>
    <mergeCell ref="O346:P346"/>
    <mergeCell ref="L345:M345"/>
    <mergeCell ref="L346:M346"/>
    <mergeCell ref="I344:J344"/>
    <mergeCell ref="I346:J346"/>
    <mergeCell ref="I345:J345"/>
  </mergeCells>
  <phoneticPr fontId="8" type="noConversion"/>
  <pageMargins left="0.39370078740157483" right="0.39370078740157483" top="0.39370078740157483" bottom="0.39370078740157483" header="0" footer="0"/>
  <pageSetup scale="44" firstPageNumber="0" fitToHeight="3" orientation="landscape" horizontalDpi="300" verticalDpi="300" r:id="rId1"/>
  <headerFooter alignWithMargins="0"/>
  <ignoredErrors>
    <ignoredError sqref="R317:S318 C317:D324 F317:G321 O322:P339 O342:P342 R334:S339 O340:O341 O317:P319 O320:P321 P341 M32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pageSetUpPr fitToPage="1"/>
  </sheetPr>
  <dimension ref="A1:IN1075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219" sqref="B219"/>
    </sheetView>
  </sheetViews>
  <sheetFormatPr baseColWidth="10" defaultColWidth="11.42578125" defaultRowHeight="12.75" x14ac:dyDescent="0.2"/>
  <cols>
    <col min="1" max="1" width="4.42578125" style="7" bestFit="1" customWidth="1"/>
    <col min="2" max="2" width="6" style="7" bestFit="1" customWidth="1"/>
    <col min="3" max="3" width="1.42578125" style="8" customWidth="1"/>
    <col min="4" max="4" width="7.140625" style="7" customWidth="1"/>
    <col min="5" max="6" width="7.42578125" style="7" customWidth="1"/>
    <col min="7" max="7" width="7.140625" style="7" customWidth="1"/>
    <col min="8" max="8" width="7.42578125" style="7" customWidth="1"/>
    <col min="9" max="9" width="7.140625" style="7" customWidth="1"/>
    <col min="10" max="12" width="7.42578125" style="7" bestFit="1" customWidth="1"/>
    <col min="13" max="13" width="5.7109375" style="7" customWidth="1"/>
    <col min="14" max="14" width="6.42578125" style="7" customWidth="1"/>
    <col min="15" max="15" width="1.42578125" style="8" customWidth="1"/>
    <col min="16" max="16" width="4" style="7" customWidth="1"/>
    <col min="17" max="17" width="8.42578125" style="7" customWidth="1"/>
    <col min="18" max="18" width="5.7109375" style="7" customWidth="1"/>
    <col min="19" max="19" width="5.28515625" style="7" customWidth="1"/>
    <col min="20" max="20" width="6" style="7" customWidth="1"/>
    <col min="21" max="21" width="8.7109375" style="7" customWidth="1"/>
    <col min="22" max="22" width="6.7109375" style="7" customWidth="1"/>
    <col min="23" max="23" width="7.140625" style="7" customWidth="1"/>
    <col min="24" max="24" width="1.42578125" style="8" customWidth="1"/>
    <col min="25" max="25" width="15.7109375" style="7" customWidth="1"/>
    <col min="26" max="26" width="5.7109375" style="7" customWidth="1"/>
    <col min="27" max="27" width="7.7109375" style="7" customWidth="1"/>
    <col min="28" max="28" width="1.42578125" style="7" customWidth="1"/>
    <col min="29" max="29" width="7.28515625" style="7" bestFit="1" customWidth="1"/>
    <col min="30" max="31" width="6.7109375" style="7" bestFit="1" customWidth="1"/>
    <col min="32" max="32" width="1.85546875" style="7" customWidth="1"/>
    <col min="33" max="238" width="11.42578125" style="7" customWidth="1"/>
    <col min="239" max="239" width="11" style="7" customWidth="1"/>
  </cols>
  <sheetData>
    <row r="1" spans="1:248" ht="13.5" thickBot="1" x14ac:dyDescent="0.25">
      <c r="D1" s="646" t="s">
        <v>266</v>
      </c>
      <c r="E1" s="647"/>
      <c r="F1" s="647"/>
      <c r="G1" s="647"/>
      <c r="H1" s="647"/>
      <c r="I1" s="647"/>
      <c r="J1" s="647"/>
      <c r="K1" s="647"/>
      <c r="L1" s="647"/>
      <c r="M1" s="647"/>
      <c r="N1" s="648"/>
      <c r="P1" s="646" t="s">
        <v>17</v>
      </c>
      <c r="Q1" s="647"/>
      <c r="R1" s="647"/>
      <c r="S1" s="647"/>
      <c r="T1" s="647"/>
      <c r="U1" s="647"/>
      <c r="V1" s="647"/>
      <c r="W1" s="648"/>
      <c r="Y1" s="9"/>
      <c r="Z1" s="9"/>
      <c r="AA1" s="9"/>
      <c r="AC1" s="653" t="s">
        <v>186</v>
      </c>
      <c r="AD1" s="653"/>
      <c r="AE1" s="653"/>
      <c r="AG1" s="649" t="s">
        <v>18</v>
      </c>
      <c r="AH1" s="649"/>
    </row>
    <row r="2" spans="1:248" s="12" customFormat="1" x14ac:dyDescent="0.2">
      <c r="A2" s="330" t="s">
        <v>19</v>
      </c>
      <c r="B2" s="331" t="s">
        <v>2</v>
      </c>
      <c r="C2" s="10"/>
      <c r="D2" s="334" t="s">
        <v>193</v>
      </c>
      <c r="E2" s="335" t="s">
        <v>194</v>
      </c>
      <c r="F2" s="331" t="s">
        <v>195</v>
      </c>
      <c r="G2" s="334" t="s">
        <v>190</v>
      </c>
      <c r="H2" s="335" t="s">
        <v>191</v>
      </c>
      <c r="I2" s="331" t="s">
        <v>192</v>
      </c>
      <c r="J2" s="334" t="s">
        <v>187</v>
      </c>
      <c r="K2" s="335" t="s">
        <v>188</v>
      </c>
      <c r="L2" s="331" t="s">
        <v>189</v>
      </c>
      <c r="M2" s="330" t="s">
        <v>20</v>
      </c>
      <c r="N2" s="331" t="s">
        <v>21</v>
      </c>
      <c r="O2" s="10"/>
      <c r="P2" s="330" t="s">
        <v>26</v>
      </c>
      <c r="Q2" s="331" t="s">
        <v>25</v>
      </c>
      <c r="R2" s="330" t="s">
        <v>22</v>
      </c>
      <c r="S2" s="335" t="s">
        <v>39</v>
      </c>
      <c r="T2" s="331" t="s">
        <v>27</v>
      </c>
      <c r="U2" s="338" t="s">
        <v>28</v>
      </c>
      <c r="V2" s="330" t="s">
        <v>24</v>
      </c>
      <c r="W2" s="331" t="s">
        <v>23</v>
      </c>
      <c r="X2" s="11"/>
      <c r="Y2" s="650" t="s">
        <v>185</v>
      </c>
      <c r="Z2" s="651"/>
      <c r="AA2" s="652"/>
      <c r="AC2" s="330" t="s">
        <v>11</v>
      </c>
      <c r="AD2" s="335" t="s">
        <v>3</v>
      </c>
      <c r="AE2" s="331" t="s">
        <v>29</v>
      </c>
      <c r="AG2" s="345" t="s">
        <v>31</v>
      </c>
      <c r="AH2" s="346" t="s">
        <v>30</v>
      </c>
      <c r="IF2"/>
      <c r="IG2"/>
      <c r="IH2"/>
      <c r="II2"/>
      <c r="IJ2"/>
      <c r="IK2"/>
      <c r="IL2"/>
      <c r="IM2"/>
      <c r="IN2"/>
    </row>
    <row r="3" spans="1:248" s="12" customFormat="1" x14ac:dyDescent="0.2">
      <c r="A3" s="332" t="s">
        <v>154</v>
      </c>
      <c r="B3" s="333" t="s">
        <v>154</v>
      </c>
      <c r="C3" s="10"/>
      <c r="D3" s="336" t="s">
        <v>7</v>
      </c>
      <c r="E3" s="337" t="s">
        <v>7</v>
      </c>
      <c r="F3" s="333" t="s">
        <v>7</v>
      </c>
      <c r="G3" s="336" t="s">
        <v>155</v>
      </c>
      <c r="H3" s="337" t="s">
        <v>155</v>
      </c>
      <c r="I3" s="333" t="s">
        <v>155</v>
      </c>
      <c r="J3" s="336" t="s">
        <v>39</v>
      </c>
      <c r="K3" s="337" t="s">
        <v>39</v>
      </c>
      <c r="L3" s="333" t="s">
        <v>39</v>
      </c>
      <c r="M3" s="332" t="s">
        <v>244</v>
      </c>
      <c r="N3" s="333" t="s">
        <v>156</v>
      </c>
      <c r="O3" s="10"/>
      <c r="P3" s="336" t="s">
        <v>14</v>
      </c>
      <c r="Q3" s="339" t="s">
        <v>227</v>
      </c>
      <c r="R3" s="336" t="s">
        <v>245</v>
      </c>
      <c r="S3" s="340" t="s">
        <v>228</v>
      </c>
      <c r="T3" s="339" t="s">
        <v>227</v>
      </c>
      <c r="U3" s="341" t="s">
        <v>227</v>
      </c>
      <c r="V3" s="336" t="s">
        <v>8</v>
      </c>
      <c r="W3" s="339" t="s">
        <v>227</v>
      </c>
      <c r="X3" s="11"/>
      <c r="Y3" s="342"/>
      <c r="Z3" s="343"/>
      <c r="AA3" s="344"/>
      <c r="AC3" s="336" t="s">
        <v>154</v>
      </c>
      <c r="AD3" s="340" t="s">
        <v>39</v>
      </c>
      <c r="AE3" s="339" t="s">
        <v>39</v>
      </c>
      <c r="AG3" s="342" t="s">
        <v>7</v>
      </c>
      <c r="AH3" s="339" t="s">
        <v>7</v>
      </c>
      <c r="IF3"/>
      <c r="IG3"/>
      <c r="IH3"/>
      <c r="II3"/>
      <c r="IJ3"/>
      <c r="IK3"/>
      <c r="IL3"/>
      <c r="IM3"/>
      <c r="IN3"/>
    </row>
    <row r="4" spans="1:248" x14ac:dyDescent="0.2">
      <c r="A4" s="292" t="s">
        <v>14</v>
      </c>
      <c r="B4" s="349">
        <f>T_ini</f>
        <v>4</v>
      </c>
      <c r="D4" s="292" t="s">
        <v>14</v>
      </c>
      <c r="E4" s="293" t="s">
        <v>14</v>
      </c>
      <c r="F4" s="294" t="s">
        <v>14</v>
      </c>
      <c r="G4" s="292">
        <f>vit_xz*COS(Beta)</f>
        <v>17.288966719831507</v>
      </c>
      <c r="H4" s="293">
        <f>vit_xz*SIN(Beta)</f>
        <v>126.7059036894515</v>
      </c>
      <c r="I4" s="349">
        <f>V_ini</f>
        <v>127.88</v>
      </c>
      <c r="J4" s="350">
        <f>X_ini</f>
        <v>43.33</v>
      </c>
      <c r="K4" s="351">
        <f>Z_ini</f>
        <v>358.22</v>
      </c>
      <c r="L4" s="327">
        <f t="shared" ref="L4:L67" si="0">SQRT(pos_x^2+pos_z^2)</f>
        <v>360.83106476577098</v>
      </c>
      <c r="M4" s="292">
        <f>RADIANS(N4)</f>
        <v>1.4351842439149372</v>
      </c>
      <c r="N4" s="349">
        <f>Beta_rampe</f>
        <v>82.23</v>
      </c>
      <c r="P4" s="292" t="s">
        <v>14</v>
      </c>
      <c r="Q4" s="294" t="s">
        <v>14</v>
      </c>
      <c r="R4" s="292" t="s">
        <v>14</v>
      </c>
      <c r="S4" s="351">
        <f ca="1">m_tot</f>
        <v>6.6850000000000005</v>
      </c>
      <c r="T4" s="327">
        <f t="shared" ref="T4:T67" ca="1" si="1">m*g</f>
        <v>65.579850000000008</v>
      </c>
      <c r="U4" s="328">
        <f t="shared" ref="U4:U67" si="2">IF(pos_xz&lt;L_rampe,Poids*COS(Beta),0)</f>
        <v>0</v>
      </c>
      <c r="V4" s="329">
        <f t="shared" ref="V4:V67" si="3">Rho_moyen*(20000-Alt_rampe-pos_z)/(20000+Alt_rampe+pos_z)</f>
        <v>1.1818901898103074</v>
      </c>
      <c r="W4" s="327">
        <f t="shared" ref="W4:W67" si="4">1/2*Rho*Sref*Cx*vit_xz^2</f>
        <v>31.996055907464889</v>
      </c>
      <c r="Y4" s="295" t="s">
        <v>14</v>
      </c>
      <c r="Z4" s="296" t="s">
        <v>14</v>
      </c>
      <c r="AA4" s="297" t="s">
        <v>14</v>
      </c>
      <c r="AC4" s="320">
        <f>IF(ABS(t-ROUND(t,0))&lt;0.001,t,-1)</f>
        <v>4</v>
      </c>
      <c r="AD4" s="321">
        <f>IF(ABS(t-ROUND(t,0))&lt;0.001,pos_x,-1)</f>
        <v>43.33</v>
      </c>
      <c r="AE4" s="322">
        <f t="shared" ref="AE4:AE67" si="5">IF(t&lt;T_para, pos_z, NA())</f>
        <v>358.22</v>
      </c>
      <c r="AG4" s="292" t="s">
        <v>14</v>
      </c>
      <c r="AH4" s="294" t="s">
        <v>14</v>
      </c>
    </row>
    <row r="5" spans="1:248" x14ac:dyDescent="0.2">
      <c r="A5" s="347">
        <f t="shared" ref="A5:A68" ca="1" si="6">IF(B4+0.01&lt;=T_ini+ROUNDUP(Temps_fin_propu,0), 0.01, IF(K4&gt;0, 0.1, 0.0001))</f>
        <v>0.01</v>
      </c>
      <c r="B5" s="304">
        <f t="shared" ref="B5:B68" ca="1" si="7">B4+pas</f>
        <v>4.01</v>
      </c>
      <c r="D5" s="306">
        <f t="shared" ref="D5:D68" ca="1" si="8">IF(AND(L4&lt;L_rampe,Poussee&lt;Poids*SIN(M4)),0,(-W4+Poussee)/m*COS(M4)-U4/m*SIN(M4))</f>
        <v>1.1589871721674865</v>
      </c>
      <c r="E5" s="307">
        <f t="shared" ref="E5:E68" ca="1" si="9">IF(AND(L4&lt;L_rampe,Poussee&lt;Poids*SIN(M4)),0,(-W4+Poussee)/m*SIN(M4)+U4/m*COS(M4)-Poids/m)</f>
        <v>-1.316113731741023</v>
      </c>
      <c r="F5" s="304">
        <f t="shared" ref="F5:F68" ca="1" si="10">SQRT(acc_x^2+acc_z^2)</f>
        <v>1.7536837286483753</v>
      </c>
      <c r="G5" s="306">
        <f t="shared" ref="G5:G68" ca="1" si="11">G4+acc_x*pas</f>
        <v>17.300556591553182</v>
      </c>
      <c r="H5" s="307">
        <f t="shared" ref="H5:H68" ca="1" si="12">H4+acc_z*pas</f>
        <v>126.69274255213409</v>
      </c>
      <c r="I5" s="304">
        <f t="shared" ref="I5:I68" ca="1" si="13">SQRT(vit_x^2+vit_z^2)</f>
        <v>127.86852729956212</v>
      </c>
      <c r="J5" s="306">
        <f t="shared" ref="J5:J68" ca="1" si="14">J4+0.5*(vit_x+G4)*pas*(K4&gt;=0)</f>
        <v>43.502947616556924</v>
      </c>
      <c r="K5" s="307">
        <f t="shared" ref="K5:K68" ca="1" si="15">K4+0.5*(vit_z+H4)*pas</f>
        <v>359.48699323120798</v>
      </c>
      <c r="L5" s="304">
        <f t="shared" ca="1" si="0"/>
        <v>362.10965846514432</v>
      </c>
      <c r="M5" s="306">
        <f t="shared" ref="M5:M68" ca="1" si="16">IF(AND(L4&gt;L_rampe,G5&gt;0),ATAN2(G5,H5),$M$4)</f>
        <v>1.4350805217063949</v>
      </c>
      <c r="N5" s="304">
        <f t="shared" ref="N5:N68" ca="1" si="17">DEGREES(Beta)</f>
        <v>82.224057155208754</v>
      </c>
      <c r="P5" s="310">
        <f t="shared" ref="P5:P68" ca="1" si="18">MATCH(t-pas/2-T_ini,CdP_t)</f>
        <v>1</v>
      </c>
      <c r="Q5" s="304">
        <f t="shared" ref="Q5:Q68" ca="1" si="19">(INDEX(CdP,2,i_P+1)-INDEX(CdP,2,i_P+0))/(INDEX(CdP,1,i_P+1)-INDEX(CdP,1,i_P+0))*(t-pas/2-T_ini-INDEX(CdP,1,i_P+0))+INDEX(CdP,2,i_P+0)</f>
        <v>89.299999999998093</v>
      </c>
      <c r="R5" s="306">
        <f t="shared" ref="R5:R68" ca="1" si="20">Poussee/(g*ISP)</f>
        <v>4.4815509359346486E-2</v>
      </c>
      <c r="S5" s="307">
        <f t="shared" ref="S5:S68" ca="1" si="21">S4-Débit*pas</f>
        <v>6.684551844906407</v>
      </c>
      <c r="T5" s="304">
        <f t="shared" ca="1" si="1"/>
        <v>65.575453598531851</v>
      </c>
      <c r="U5" s="311">
        <f t="shared" ca="1" si="2"/>
        <v>0</v>
      </c>
      <c r="V5" s="306">
        <f t="shared" ca="1" si="3"/>
        <v>1.1817404063909238</v>
      </c>
      <c r="W5" s="304">
        <f t="shared" ca="1" si="4"/>
        <v>31.986260939937548</v>
      </c>
      <c r="Y5" s="314" t="str">
        <f t="shared" ref="Y5:Y68" ca="1" si="22">IF(AND(pos_z&lt;=0,K4&gt;0),"Impact balistique","") &amp; IF(AND(H6&lt;0,vit_z&gt;=0),"Apogée","") &amp; IF(AND(Poussee=0,Q4&gt;0),"Fin de propulsion","") &amp; IF(AND(L6&gt;L_rampe,pos_xz&lt;=L_rampe),"Sortie de rampe","")</f>
        <v/>
      </c>
      <c r="Z5" s="315" t="str">
        <f t="shared" ref="Z5:Z68" ca="1" si="23">IF(ABS(t-T_para)&lt;pas/2,"Para","")</f>
        <v/>
      </c>
      <c r="AA5" s="316" t="str">
        <f t="shared" ref="AA5:AA68" ca="1" si="24">IF(ABS(t-T_satellite)&lt;pas/2,"Satellite","")</f>
        <v/>
      </c>
      <c r="AC5" s="310" t="e">
        <f t="shared" ref="AC5:AC68" ca="1" si="25">IF(ABS(t-ROUND(t,0))&lt;0.001,t,NA())</f>
        <v>#N/A</v>
      </c>
      <c r="AD5" s="323" t="e">
        <f t="shared" ref="AD5:AD68" ca="1" si="26">IF(ABS(t-ROUND(t,0))&lt;0.001,pos_x,NA())</f>
        <v>#N/A</v>
      </c>
      <c r="AE5" s="324">
        <f t="shared" ca="1" si="5"/>
        <v>359.48699323120798</v>
      </c>
      <c r="AG5" s="306">
        <f t="shared" ref="AG5:AG68" ca="1" si="27">IF(AND(L4&lt;L_rampe,Poussee&lt;Poids*SIN(M4)),0,(-W4+Poussee)/m-Poids*SIN(M4)/m)</f>
        <v>-1.1473388261653703</v>
      </c>
      <c r="AH5" s="304">
        <f t="shared" ref="AH5:AH68" ca="1" si="28">IF(AND(L4&lt;L_rampe,Poussee&lt;Poids*SIN(M4)), g*SIN(M4), (-W4+Poussee)/m)</f>
        <v>8.5725932601148873</v>
      </c>
    </row>
    <row r="6" spans="1:248" x14ac:dyDescent="0.2">
      <c r="A6" s="347">
        <f t="shared" ca="1" si="6"/>
        <v>0.01</v>
      </c>
      <c r="B6" s="304">
        <f t="shared" ca="1" si="7"/>
        <v>4.0199999999999996</v>
      </c>
      <c r="D6" s="306">
        <f t="shared" ca="1" si="8"/>
        <v>4.7760042937084171</v>
      </c>
      <c r="E6" s="307">
        <f t="shared" ca="1" si="9"/>
        <v>25.164891079869292</v>
      </c>
      <c r="F6" s="304">
        <f t="shared" ca="1" si="10"/>
        <v>25.614096901417515</v>
      </c>
      <c r="G6" s="306">
        <f t="shared" ca="1" si="11"/>
        <v>17.348316634490267</v>
      </c>
      <c r="H6" s="307">
        <f t="shared" ca="1" si="12"/>
        <v>126.94439146293278</v>
      </c>
      <c r="I6" s="304">
        <f t="shared" ca="1" si="13"/>
        <v>128.12432483312782</v>
      </c>
      <c r="J6" s="306">
        <f t="shared" ca="1" si="14"/>
        <v>43.676191982687143</v>
      </c>
      <c r="K6" s="307">
        <f t="shared" ca="1" si="15"/>
        <v>360.75517890128333</v>
      </c>
      <c r="L6" s="304">
        <f t="shared" ca="1" si="0"/>
        <v>363.38947267388676</v>
      </c>
      <c r="M6" s="306">
        <f t="shared" ca="1" si="16"/>
        <v>1.4349769278905549</v>
      </c>
      <c r="N6" s="304">
        <f t="shared" ca="1" si="17"/>
        <v>82.218121666777463</v>
      </c>
      <c r="P6" s="310">
        <f t="shared" ca="1" si="18"/>
        <v>1</v>
      </c>
      <c r="Q6" s="304">
        <f t="shared" ca="1" si="19"/>
        <v>267.89999999999429</v>
      </c>
      <c r="R6" s="306">
        <f t="shared" ca="1" si="20"/>
        <v>0.13444652807803945</v>
      </c>
      <c r="S6" s="307">
        <f t="shared" ca="1" si="21"/>
        <v>6.6832073796256264</v>
      </c>
      <c r="T6" s="304">
        <f t="shared" ca="1" si="1"/>
        <v>65.562264394127396</v>
      </c>
      <c r="U6" s="311">
        <f t="shared" ca="1" si="2"/>
        <v>0</v>
      </c>
      <c r="V6" s="306">
        <f t="shared" ca="1" si="3"/>
        <v>1.1815905006694434</v>
      </c>
      <c r="W6" s="304">
        <f t="shared" ca="1" si="4"/>
        <v>32.110290486719776</v>
      </c>
      <c r="Y6" s="314" t="str">
        <f t="shared" ca="1" si="22"/>
        <v/>
      </c>
      <c r="Z6" s="315" t="str">
        <f t="shared" ca="1" si="23"/>
        <v/>
      </c>
      <c r="AA6" s="316" t="str">
        <f t="shared" ca="1" si="24"/>
        <v/>
      </c>
      <c r="AC6" s="310" t="e">
        <f t="shared" ca="1" si="25"/>
        <v>#N/A</v>
      </c>
      <c r="AD6" s="323" t="e">
        <f t="shared" ca="1" si="26"/>
        <v>#N/A</v>
      </c>
      <c r="AE6" s="324">
        <f t="shared" ca="1" si="5"/>
        <v>360.75517890128333</v>
      </c>
      <c r="AG6" s="306">
        <f t="shared" ca="1" si="27"/>
        <v>25.579684607115833</v>
      </c>
      <c r="AH6" s="304">
        <f t="shared" ca="1" si="28"/>
        <v>35.299479076358082</v>
      </c>
    </row>
    <row r="7" spans="1:248" x14ac:dyDescent="0.2">
      <c r="A7" s="347">
        <f t="shared" ca="1" si="6"/>
        <v>0.01</v>
      </c>
      <c r="B7" s="304">
        <f t="shared" ca="1" si="7"/>
        <v>4.0299999999999994</v>
      </c>
      <c r="D7" s="306">
        <f t="shared" ca="1" si="8"/>
        <v>8.3983778787883612</v>
      </c>
      <c r="E7" s="307">
        <f t="shared" ca="1" si="9"/>
        <v>51.644202823285596</v>
      </c>
      <c r="F7" s="304">
        <f t="shared" ca="1" si="10"/>
        <v>52.322618782392588</v>
      </c>
      <c r="G7" s="306">
        <f t="shared" ca="1" si="11"/>
        <v>17.432300413278149</v>
      </c>
      <c r="H7" s="307">
        <f t="shared" ca="1" si="12"/>
        <v>127.46083349116564</v>
      </c>
      <c r="I7" s="304">
        <f t="shared" ca="1" si="13"/>
        <v>128.64738307467212</v>
      </c>
      <c r="J7" s="306">
        <f t="shared" ca="1" si="14"/>
        <v>43.850095067925984</v>
      </c>
      <c r="K7" s="307">
        <f t="shared" ca="1" si="15"/>
        <v>362.02720502605382</v>
      </c>
      <c r="L7" s="304">
        <f t="shared" ca="1" si="0"/>
        <v>364.67317973281575</v>
      </c>
      <c r="M7" s="306">
        <f t="shared" ca="1" si="16"/>
        <v>1.4348736770009642</v>
      </c>
      <c r="N7" s="304">
        <f t="shared" ca="1" si="17"/>
        <v>82.212205826572955</v>
      </c>
      <c r="P7" s="310">
        <f t="shared" ca="1" si="18"/>
        <v>1</v>
      </c>
      <c r="Q7" s="304">
        <f t="shared" ca="1" si="19"/>
        <v>446.49999999999051</v>
      </c>
      <c r="R7" s="306">
        <f t="shared" ca="1" si="20"/>
        <v>0.22407754679673245</v>
      </c>
      <c r="S7" s="307">
        <f t="shared" ca="1" si="21"/>
        <v>6.6809666041576588</v>
      </c>
      <c r="T7" s="304">
        <f t="shared" ca="1" si="1"/>
        <v>65.540282386786629</v>
      </c>
      <c r="U7" s="311">
        <f t="shared" ca="1" si="2"/>
        <v>0</v>
      </c>
      <c r="V7" s="306">
        <f t="shared" ca="1" si="3"/>
        <v>1.1814401597452489</v>
      </c>
      <c r="W7" s="304">
        <f t="shared" ca="1" si="4"/>
        <v>32.368882483383182</v>
      </c>
      <c r="Y7" s="314" t="str">
        <f t="shared" ca="1" si="22"/>
        <v/>
      </c>
      <c r="Z7" s="315" t="str">
        <f t="shared" ca="1" si="23"/>
        <v/>
      </c>
      <c r="AA7" s="316" t="str">
        <f t="shared" ca="1" si="24"/>
        <v/>
      </c>
      <c r="AC7" s="310" t="e">
        <f t="shared" ca="1" si="25"/>
        <v>#N/A</v>
      </c>
      <c r="AD7" s="323" t="e">
        <f t="shared" ca="1" si="26"/>
        <v>#N/A</v>
      </c>
      <c r="AE7" s="324">
        <f t="shared" ca="1" si="5"/>
        <v>362.02720502605382</v>
      </c>
      <c r="AG7" s="306">
        <f t="shared" ca="1" si="27"/>
        <v>52.305755580573475</v>
      </c>
      <c r="AH7" s="304">
        <f t="shared" ca="1" si="28"/>
        <v>62.025412498752836</v>
      </c>
    </row>
    <row r="8" spans="1:248" x14ac:dyDescent="0.2">
      <c r="A8" s="347">
        <f t="shared" ca="1" si="6"/>
        <v>0.01</v>
      </c>
      <c r="B8" s="304">
        <f t="shared" ca="1" si="7"/>
        <v>4.0399999999999991</v>
      </c>
      <c r="D8" s="306">
        <f t="shared" ca="1" si="8"/>
        <v>12.027521596485403</v>
      </c>
      <c r="E8" s="307">
        <f t="shared" ca="1" si="9"/>
        <v>78.13237657545838</v>
      </c>
      <c r="F8" s="304">
        <f t="shared" ca="1" si="10"/>
        <v>79.05270106127405</v>
      </c>
      <c r="G8" s="306">
        <f t="shared" ca="1" si="11"/>
        <v>17.552575629243002</v>
      </c>
      <c r="H8" s="307">
        <f t="shared" ca="1" si="12"/>
        <v>128.24215725692022</v>
      </c>
      <c r="I8" s="304">
        <f t="shared" ca="1" si="13"/>
        <v>129.43779899677276</v>
      </c>
      <c r="J8" s="306">
        <f t="shared" ca="1" si="14"/>
        <v>44.025019448138593</v>
      </c>
      <c r="K8" s="307">
        <f t="shared" ca="1" si="15"/>
        <v>363.30571997979428</v>
      </c>
      <c r="L8" s="304">
        <f t="shared" ca="1" si="0"/>
        <v>365.96345242038268</v>
      </c>
      <c r="M8" s="306">
        <f t="shared" ca="1" si="16"/>
        <v>1.4347709790842027</v>
      </c>
      <c r="N8" s="304">
        <f t="shared" ca="1" si="17"/>
        <v>82.206321669377729</v>
      </c>
      <c r="P8" s="310">
        <f t="shared" ca="1" si="18"/>
        <v>1</v>
      </c>
      <c r="Q8" s="304">
        <f t="shared" ca="1" si="19"/>
        <v>625.09999999998672</v>
      </c>
      <c r="R8" s="306">
        <f t="shared" ca="1" si="20"/>
        <v>0.31370856551542542</v>
      </c>
      <c r="S8" s="307">
        <f t="shared" ca="1" si="21"/>
        <v>6.6778295185025041</v>
      </c>
      <c r="T8" s="304">
        <f t="shared" ca="1" si="1"/>
        <v>65.509507576509563</v>
      </c>
      <c r="U8" s="311">
        <f t="shared" ca="1" si="2"/>
        <v>0</v>
      </c>
      <c r="V8" s="306">
        <f t="shared" ca="1" si="3"/>
        <v>1.1812890708320918</v>
      </c>
      <c r="W8" s="304">
        <f t="shared" ca="1" si="4"/>
        <v>32.763665906895795</v>
      </c>
      <c r="Y8" s="314" t="str">
        <f t="shared" ca="1" si="22"/>
        <v/>
      </c>
      <c r="Z8" s="315" t="str">
        <f t="shared" ca="1" si="23"/>
        <v/>
      </c>
      <c r="AA8" s="316" t="str">
        <f t="shared" ca="1" si="24"/>
        <v/>
      </c>
      <c r="AC8" s="310" t="e">
        <f t="shared" ca="1" si="25"/>
        <v>#N/A</v>
      </c>
      <c r="AD8" s="323" t="e">
        <f t="shared" ca="1" si="26"/>
        <v>#N/A</v>
      </c>
      <c r="AE8" s="324">
        <f t="shared" ca="1" si="5"/>
        <v>363.30571997979428</v>
      </c>
      <c r="AG8" s="306">
        <f t="shared" ca="1" si="27"/>
        <v>79.041523951936739</v>
      </c>
      <c r="AH8" s="304">
        <f t="shared" ca="1" si="28"/>
        <v>88.761043670597147</v>
      </c>
    </row>
    <row r="9" spans="1:248" x14ac:dyDescent="0.2">
      <c r="A9" s="347">
        <f t="shared" ca="1" si="6"/>
        <v>0.01</v>
      </c>
      <c r="B9" s="304">
        <f t="shared" ca="1" si="7"/>
        <v>4.0499999999999989</v>
      </c>
      <c r="D9" s="306">
        <f t="shared" ca="1" si="8"/>
        <v>15.664816527140799</v>
      </c>
      <c r="E9" s="307">
        <f t="shared" ca="1" si="9"/>
        <v>104.63986233972048</v>
      </c>
      <c r="F9" s="304">
        <f t="shared" ca="1" si="10"/>
        <v>105.80589429377098</v>
      </c>
      <c r="G9" s="306">
        <f t="shared" ca="1" si="11"/>
        <v>17.709223794514411</v>
      </c>
      <c r="H9" s="307">
        <f t="shared" ca="1" si="12"/>
        <v>129.28855588031743</v>
      </c>
      <c r="I9" s="304">
        <f t="shared" ca="1" si="13"/>
        <v>130.49577498533105</v>
      </c>
      <c r="J9" s="306">
        <f t="shared" ca="1" si="14"/>
        <v>44.201328445257381</v>
      </c>
      <c r="K9" s="307">
        <f t="shared" ca="1" si="15"/>
        <v>364.59337354548046</v>
      </c>
      <c r="L9" s="304">
        <f t="shared" ca="1" si="0"/>
        <v>367.26296501226443</v>
      </c>
      <c r="M9" s="306">
        <f t="shared" ca="1" si="16"/>
        <v>1.4346690372858379</v>
      </c>
      <c r="N9" s="304">
        <f t="shared" ca="1" si="17"/>
        <v>82.200480834575458</v>
      </c>
      <c r="P9" s="310">
        <f t="shared" ca="1" si="18"/>
        <v>1</v>
      </c>
      <c r="Q9" s="304">
        <f t="shared" ca="1" si="19"/>
        <v>803.69999999998288</v>
      </c>
      <c r="R9" s="306">
        <f t="shared" ca="1" si="20"/>
        <v>0.40333958423411836</v>
      </c>
      <c r="S9" s="307">
        <f t="shared" ca="1" si="21"/>
        <v>6.6737961226601632</v>
      </c>
      <c r="T9" s="304">
        <f t="shared" ca="1" si="1"/>
        <v>65.469939963296198</v>
      </c>
      <c r="U9" s="311">
        <f t="shared" ca="1" si="2"/>
        <v>0</v>
      </c>
      <c r="V9" s="306">
        <f t="shared" ca="1" si="3"/>
        <v>1.1811369211355427</v>
      </c>
      <c r="W9" s="304">
        <f t="shared" ca="1" si="4"/>
        <v>33.297161385722127</v>
      </c>
      <c r="Y9" s="314" t="str">
        <f t="shared" ca="1" si="22"/>
        <v/>
      </c>
      <c r="Z9" s="315" t="str">
        <f t="shared" ca="1" si="23"/>
        <v/>
      </c>
      <c r="AA9" s="316" t="str">
        <f t="shared" ca="1" si="24"/>
        <v/>
      </c>
      <c r="AC9" s="310" t="e">
        <f t="shared" ca="1" si="25"/>
        <v>#N/A</v>
      </c>
      <c r="AD9" s="323" t="e">
        <f t="shared" ca="1" si="26"/>
        <v>#N/A</v>
      </c>
      <c r="AE9" s="324">
        <f t="shared" ca="1" si="5"/>
        <v>364.59337354548046</v>
      </c>
      <c r="AG9" s="306">
        <f t="shared" ca="1" si="27"/>
        <v>105.79753104937457</v>
      </c>
      <c r="AH9" s="304">
        <f t="shared" ca="1" si="28"/>
        <v>115.5169142005185</v>
      </c>
    </row>
    <row r="10" spans="1:248" x14ac:dyDescent="0.2">
      <c r="A10" s="347">
        <f t="shared" ca="1" si="6"/>
        <v>0.01</v>
      </c>
      <c r="B10" s="304">
        <f t="shared" ca="1" si="7"/>
        <v>4.0599999999999987</v>
      </c>
      <c r="D10" s="306">
        <f t="shared" ca="1" si="8"/>
        <v>17.471746834656248</v>
      </c>
      <c r="E10" s="307">
        <f t="shared" ca="1" si="9"/>
        <v>117.7448235862786</v>
      </c>
      <c r="F10" s="304">
        <f t="shared" ca="1" si="10"/>
        <v>119.03405150971797</v>
      </c>
      <c r="G10" s="306">
        <f t="shared" ca="1" si="11"/>
        <v>17.883941262860972</v>
      </c>
      <c r="H10" s="307">
        <f t="shared" ca="1" si="12"/>
        <v>130.46600411618022</v>
      </c>
      <c r="I10" s="304">
        <f t="shared" ca="1" si="13"/>
        <v>131.68604172476526</v>
      </c>
      <c r="J10" s="306">
        <f t="shared" ca="1" si="14"/>
        <v>44.379294270544257</v>
      </c>
      <c r="K10" s="307">
        <f t="shared" ca="1" si="15"/>
        <v>365.89214634546295</v>
      </c>
      <c r="L10" s="304">
        <f t="shared" ca="1" si="0"/>
        <v>368.57371653068435</v>
      </c>
      <c r="M10" s="306">
        <f t="shared" ca="1" si="16"/>
        <v>1.4345679416658992</v>
      </c>
      <c r="N10" s="304">
        <f t="shared" ca="1" si="17"/>
        <v>82.1946884822257</v>
      </c>
      <c r="P10" s="310">
        <f t="shared" ca="1" si="18"/>
        <v>2</v>
      </c>
      <c r="Q10" s="304">
        <f t="shared" ca="1" si="19"/>
        <v>891.94444444444468</v>
      </c>
      <c r="R10" s="306">
        <f t="shared" ca="1" si="20"/>
        <v>0.44762535944029075</v>
      </c>
      <c r="S10" s="307">
        <f t="shared" ca="1" si="21"/>
        <v>6.6693198690657605</v>
      </c>
      <c r="T10" s="304">
        <f t="shared" ca="1" si="1"/>
        <v>65.426027915535116</v>
      </c>
      <c r="U10" s="311">
        <f t="shared" ca="1" si="2"/>
        <v>0</v>
      </c>
      <c r="V10" s="306">
        <f t="shared" ca="1" si="3"/>
        <v>1.180983477075064</v>
      </c>
      <c r="W10" s="304">
        <f t="shared" ca="1" si="4"/>
        <v>33.902940914757437</v>
      </c>
      <c r="Y10" s="314" t="str">
        <f t="shared" ca="1" si="22"/>
        <v/>
      </c>
      <c r="Z10" s="315" t="str">
        <f t="shared" ca="1" si="23"/>
        <v/>
      </c>
      <c r="AA10" s="316" t="str">
        <f t="shared" ca="1" si="24"/>
        <v/>
      </c>
      <c r="AC10" s="310" t="e">
        <f t="shared" ca="1" si="25"/>
        <v>#N/A</v>
      </c>
      <c r="AD10" s="323" t="e">
        <f t="shared" ca="1" si="26"/>
        <v>#N/A</v>
      </c>
      <c r="AE10" s="324">
        <f t="shared" ca="1" si="5"/>
        <v>365.89214634546295</v>
      </c>
      <c r="AG10" s="306">
        <f t="shared" ca="1" si="27"/>
        <v>119.02660664971503</v>
      </c>
      <c r="AH10" s="304">
        <f t="shared" ca="1" si="28"/>
        <v>128.74585413744776</v>
      </c>
    </row>
    <row r="11" spans="1:248" x14ac:dyDescent="0.2">
      <c r="A11" s="347">
        <f t="shared" ca="1" si="6"/>
        <v>0.01</v>
      </c>
      <c r="B11" s="304">
        <f t="shared" ca="1" si="7"/>
        <v>4.0699999999999985</v>
      </c>
      <c r="D11" s="306">
        <f t="shared" ca="1" si="8"/>
        <v>17.440996095199438</v>
      </c>
      <c r="E11" s="307">
        <f t="shared" ca="1" si="9"/>
        <v>117.42465341903943</v>
      </c>
      <c r="F11" s="304">
        <f t="shared" ca="1" si="10"/>
        <v>118.71283660739596</v>
      </c>
      <c r="G11" s="306">
        <f t="shared" ca="1" si="11"/>
        <v>18.058351223812966</v>
      </c>
      <c r="H11" s="307">
        <f t="shared" ca="1" si="12"/>
        <v>131.6402506503706</v>
      </c>
      <c r="I11" s="304">
        <f t="shared" ca="1" si="13"/>
        <v>132.87309599845631</v>
      </c>
      <c r="J11" s="306">
        <f t="shared" ca="1" si="14"/>
        <v>44.559005732977624</v>
      </c>
      <c r="K11" s="307">
        <f t="shared" ca="1" si="15"/>
        <v>367.20267761929568</v>
      </c>
      <c r="L11" s="304">
        <f t="shared" ca="1" si="0"/>
        <v>369.89635229708864</v>
      </c>
      <c r="M11" s="306">
        <f t="shared" ca="1" si="16"/>
        <v>1.4344676752606464</v>
      </c>
      <c r="N11" s="304">
        <f t="shared" ca="1" si="17"/>
        <v>82.188943640377772</v>
      </c>
      <c r="P11" s="310">
        <f t="shared" ca="1" si="18"/>
        <v>2</v>
      </c>
      <c r="Q11" s="304">
        <f t="shared" ca="1" si="19"/>
        <v>889.8333333333336</v>
      </c>
      <c r="R11" s="306">
        <f t="shared" ca="1" si="20"/>
        <v>0.4465658911339232</v>
      </c>
      <c r="S11" s="307">
        <f t="shared" ca="1" si="21"/>
        <v>6.664854210154421</v>
      </c>
      <c r="T11" s="304">
        <f t="shared" ca="1" si="1"/>
        <v>65.38221980161488</v>
      </c>
      <c r="U11" s="311">
        <f t="shared" ca="1" si="2"/>
        <v>0</v>
      </c>
      <c r="V11" s="306">
        <f t="shared" ca="1" si="3"/>
        <v>1.1808286636408909</v>
      </c>
      <c r="W11" s="304">
        <f t="shared" ca="1" si="4"/>
        <v>34.512391904975033</v>
      </c>
      <c r="Y11" s="314" t="str">
        <f t="shared" ca="1" si="22"/>
        <v/>
      </c>
      <c r="Z11" s="315" t="str">
        <f t="shared" ca="1" si="23"/>
        <v/>
      </c>
      <c r="AA11" s="316" t="str">
        <f t="shared" ca="1" si="24"/>
        <v/>
      </c>
      <c r="AC11" s="310" t="e">
        <f t="shared" ca="1" si="25"/>
        <v>#N/A</v>
      </c>
      <c r="AD11" s="323" t="e">
        <f t="shared" ca="1" si="26"/>
        <v>#N/A</v>
      </c>
      <c r="AE11" s="324">
        <f t="shared" ca="1" si="5"/>
        <v>367.20267761929568</v>
      </c>
      <c r="AG11" s="306">
        <f t="shared" ca="1" si="27"/>
        <v>118.70536057810598</v>
      </c>
      <c r="AH11" s="304">
        <f t="shared" ca="1" si="28"/>
        <v>128.42447342876608</v>
      </c>
    </row>
    <row r="12" spans="1:248" x14ac:dyDescent="0.2">
      <c r="A12" s="347">
        <f t="shared" ca="1" si="6"/>
        <v>0.01</v>
      </c>
      <c r="B12" s="304">
        <f t="shared" ca="1" si="7"/>
        <v>4.0799999999999983</v>
      </c>
      <c r="D12" s="306">
        <f t="shared" ca="1" si="8"/>
        <v>17.409914378606047</v>
      </c>
      <c r="E12" s="307">
        <f t="shared" ca="1" si="9"/>
        <v>117.10333024794694</v>
      </c>
      <c r="F12" s="304">
        <f t="shared" ca="1" si="10"/>
        <v>118.39043489163353</v>
      </c>
      <c r="G12" s="306">
        <f t="shared" ca="1" si="11"/>
        <v>18.232450367599029</v>
      </c>
      <c r="H12" s="307">
        <f t="shared" ca="1" si="12"/>
        <v>132.81128395285006</v>
      </c>
      <c r="I12" s="304">
        <f t="shared" ca="1" si="13"/>
        <v>134.05692593675096</v>
      </c>
      <c r="J12" s="306">
        <f t="shared" ca="1" si="14"/>
        <v>44.740459740934682</v>
      </c>
      <c r="K12" s="307">
        <f t="shared" ca="1" si="15"/>
        <v>368.5249352923118</v>
      </c>
      <c r="L12" s="304">
        <f t="shared" ca="1" si="0"/>
        <v>371.23084013862962</v>
      </c>
      <c r="M12" s="306">
        <f t="shared" ca="1" si="16"/>
        <v>1.4343682215954578</v>
      </c>
      <c r="N12" s="304">
        <f t="shared" ca="1" si="17"/>
        <v>82.183245365105364</v>
      </c>
      <c r="P12" s="310">
        <f t="shared" ca="1" si="18"/>
        <v>2</v>
      </c>
      <c r="Q12" s="304">
        <f t="shared" ca="1" si="19"/>
        <v>887.72222222222251</v>
      </c>
      <c r="R12" s="306">
        <f t="shared" ca="1" si="20"/>
        <v>0.44550642282755565</v>
      </c>
      <c r="S12" s="307">
        <f t="shared" ca="1" si="21"/>
        <v>6.6603991459261458</v>
      </c>
      <c r="T12" s="304">
        <f t="shared" ca="1" si="1"/>
        <v>65.338515621535493</v>
      </c>
      <c r="U12" s="311">
        <f t="shared" ca="1" si="2"/>
        <v>0</v>
      </c>
      <c r="V12" s="306">
        <f t="shared" ca="1" si="3"/>
        <v>1.1806724851537116</v>
      </c>
      <c r="W12" s="304">
        <f t="shared" ca="1" si="4"/>
        <v>35.125459886660551</v>
      </c>
      <c r="Y12" s="314" t="str">
        <f t="shared" ca="1" si="22"/>
        <v/>
      </c>
      <c r="Z12" s="315" t="str">
        <f t="shared" ca="1" si="23"/>
        <v/>
      </c>
      <c r="AA12" s="316" t="str">
        <f t="shared" ca="1" si="24"/>
        <v/>
      </c>
      <c r="AC12" s="310" t="e">
        <f t="shared" ca="1" si="25"/>
        <v>#N/A</v>
      </c>
      <c r="AD12" s="323" t="e">
        <f t="shared" ca="1" si="26"/>
        <v>#N/A</v>
      </c>
      <c r="AE12" s="324">
        <f t="shared" ca="1" si="5"/>
        <v>368.5249352923118</v>
      </c>
      <c r="AG12" s="306">
        <f t="shared" ca="1" si="27"/>
        <v>118.38292753140175</v>
      </c>
      <c r="AH12" s="304">
        <f t="shared" ca="1" si="28"/>
        <v>128.10190675120663</v>
      </c>
    </row>
    <row r="13" spans="1:248" x14ac:dyDescent="0.2">
      <c r="A13" s="347">
        <f t="shared" ca="1" si="6"/>
        <v>0.01</v>
      </c>
      <c r="B13" s="304">
        <f t="shared" ca="1" si="7"/>
        <v>4.0899999999999981</v>
      </c>
      <c r="D13" s="306">
        <f t="shared" ca="1" si="8"/>
        <v>17.378505216134478</v>
      </c>
      <c r="E13" s="307">
        <f t="shared" ca="1" si="9"/>
        <v>116.78086104179327</v>
      </c>
      <c r="F13" s="304">
        <f t="shared" ca="1" si="10"/>
        <v>118.0668537279191</v>
      </c>
      <c r="G13" s="306">
        <f t="shared" ca="1" si="11"/>
        <v>18.406235419760375</v>
      </c>
      <c r="H13" s="307">
        <f t="shared" ca="1" si="12"/>
        <v>133.97909256326798</v>
      </c>
      <c r="I13" s="304">
        <f t="shared" ca="1" si="13"/>
        <v>135.23751974361394</v>
      </c>
      <c r="J13" s="306">
        <f t="shared" ca="1" si="14"/>
        <v>44.923653169871478</v>
      </c>
      <c r="K13" s="307">
        <f t="shared" ca="1" si="15"/>
        <v>369.8588871748924</v>
      </c>
      <c r="L13" s="304">
        <f t="shared" ca="1" si="0"/>
        <v>372.5771477645626</v>
      </c>
      <c r="M13" s="306">
        <f t="shared" ca="1" si="16"/>
        <v>1.4342695646660173</v>
      </c>
      <c r="N13" s="304">
        <f t="shared" ca="1" si="17"/>
        <v>82.17759273942869</v>
      </c>
      <c r="P13" s="310">
        <f t="shared" ca="1" si="18"/>
        <v>2</v>
      </c>
      <c r="Q13" s="304">
        <f t="shared" ca="1" si="19"/>
        <v>885.61111111111154</v>
      </c>
      <c r="R13" s="306">
        <f t="shared" ca="1" si="20"/>
        <v>0.44444695452118821</v>
      </c>
      <c r="S13" s="307">
        <f t="shared" ca="1" si="21"/>
        <v>6.6559546763809339</v>
      </c>
      <c r="T13" s="304">
        <f t="shared" ca="1" si="1"/>
        <v>65.294915375296966</v>
      </c>
      <c r="U13" s="311">
        <f t="shared" ca="1" si="2"/>
        <v>0</v>
      </c>
      <c r="V13" s="306">
        <f t="shared" ca="1" si="3"/>
        <v>1.180514945950411</v>
      </c>
      <c r="W13" s="304">
        <f t="shared" ca="1" si="4"/>
        <v>35.742090340780969</v>
      </c>
      <c r="Y13" s="314" t="str">
        <f t="shared" ca="1" si="22"/>
        <v/>
      </c>
      <c r="Z13" s="315" t="str">
        <f t="shared" ca="1" si="23"/>
        <v/>
      </c>
      <c r="AA13" s="316" t="str">
        <f t="shared" ca="1" si="24"/>
        <v/>
      </c>
      <c r="AC13" s="310" t="e">
        <f t="shared" ca="1" si="25"/>
        <v>#N/A</v>
      </c>
      <c r="AD13" s="323" t="e">
        <f t="shared" ca="1" si="26"/>
        <v>#N/A</v>
      </c>
      <c r="AE13" s="324">
        <f t="shared" ca="1" si="5"/>
        <v>369.8588871748924</v>
      </c>
      <c r="AG13" s="306">
        <f t="shared" ca="1" si="27"/>
        <v>118.05931487167851</v>
      </c>
      <c r="AH13" s="304">
        <f t="shared" ca="1" si="28"/>
        <v>127.77816144729047</v>
      </c>
    </row>
    <row r="14" spans="1:248" x14ac:dyDescent="0.2">
      <c r="A14" s="347">
        <f t="shared" ca="1" si="6"/>
        <v>0.01</v>
      </c>
      <c r="B14" s="304">
        <f t="shared" ca="1" si="7"/>
        <v>4.0999999999999979</v>
      </c>
      <c r="D14" s="306">
        <f t="shared" ca="1" si="8"/>
        <v>17.346772072202683</v>
      </c>
      <c r="E14" s="307">
        <f t="shared" ca="1" si="9"/>
        <v>116.45725281588372</v>
      </c>
      <c r="F14" s="304">
        <f t="shared" ca="1" si="10"/>
        <v>117.74210051951515</v>
      </c>
      <c r="G14" s="306">
        <f t="shared" ca="1" si="11"/>
        <v>18.579703140482401</v>
      </c>
      <c r="H14" s="307">
        <f t="shared" ca="1" si="12"/>
        <v>135.14366509142681</v>
      </c>
      <c r="I14" s="304">
        <f t="shared" ca="1" si="13"/>
        <v>136.41486569700601</v>
      </c>
      <c r="J14" s="306">
        <f t="shared" ca="1" si="14"/>
        <v>45.108582862672691</v>
      </c>
      <c r="K14" s="307">
        <f t="shared" ca="1" si="15"/>
        <v>371.20450096316586</v>
      </c>
      <c r="L14" s="304">
        <f t="shared" ca="1" si="0"/>
        <v>373.93524276696843</v>
      </c>
      <c r="M14" s="306">
        <f t="shared" ca="1" si="16"/>
        <v>1.4341716889203997</v>
      </c>
      <c r="N14" s="304">
        <f t="shared" ca="1" si="17"/>
        <v>82.171984872288107</v>
      </c>
      <c r="P14" s="310">
        <f t="shared" ca="1" si="18"/>
        <v>2</v>
      </c>
      <c r="Q14" s="304">
        <f t="shared" ca="1" si="19"/>
        <v>883.50000000000045</v>
      </c>
      <c r="R14" s="306">
        <f t="shared" ca="1" si="20"/>
        <v>0.44338748621482066</v>
      </c>
      <c r="S14" s="307">
        <f t="shared" ca="1" si="21"/>
        <v>6.6515208015187852</v>
      </c>
      <c r="T14" s="304">
        <f t="shared" ca="1" si="1"/>
        <v>65.251419062899288</v>
      </c>
      <c r="U14" s="311">
        <f t="shared" ca="1" si="2"/>
        <v>0</v>
      </c>
      <c r="V14" s="306">
        <f t="shared" ca="1" si="3"/>
        <v>1.1803560503839252</v>
      </c>
      <c r="W14" s="304">
        <f t="shared" ca="1" si="4"/>
        <v>36.362228703183192</v>
      </c>
      <c r="Y14" s="314" t="str">
        <f t="shared" ca="1" si="22"/>
        <v/>
      </c>
      <c r="Z14" s="315" t="str">
        <f t="shared" ca="1" si="23"/>
        <v/>
      </c>
      <c r="AA14" s="316" t="str">
        <f t="shared" ca="1" si="24"/>
        <v/>
      </c>
      <c r="AC14" s="310" t="e">
        <f t="shared" ca="1" si="25"/>
        <v>#N/A</v>
      </c>
      <c r="AD14" s="323" t="e">
        <f t="shared" ca="1" si="26"/>
        <v>#N/A</v>
      </c>
      <c r="AE14" s="324">
        <f t="shared" ca="1" si="5"/>
        <v>371.20450096316586</v>
      </c>
      <c r="AG14" s="306">
        <f t="shared" ca="1" si="27"/>
        <v>117.73452999879444</v>
      </c>
      <c r="AH14" s="304">
        <f t="shared" ca="1" si="28"/>
        <v>127.45324489786537</v>
      </c>
    </row>
    <row r="15" spans="1:248" x14ac:dyDescent="0.2">
      <c r="A15" s="347">
        <f t="shared" ca="1" si="6"/>
        <v>0.01</v>
      </c>
      <c r="B15" s="304">
        <f t="shared" ca="1" si="7"/>
        <v>4.1099999999999977</v>
      </c>
      <c r="D15" s="306">
        <f t="shared" ca="1" si="8"/>
        <v>17.314718347095024</v>
      </c>
      <c r="E15" s="307">
        <f t="shared" ca="1" si="9"/>
        <v>116.13251263109468</v>
      </c>
      <c r="F15" s="304">
        <f t="shared" ca="1" si="10"/>
        <v>117.41618270685943</v>
      </c>
      <c r="G15" s="306">
        <f t="shared" ca="1" si="11"/>
        <v>18.75285032395335</v>
      </c>
      <c r="H15" s="307">
        <f t="shared" ca="1" si="12"/>
        <v>136.30499021773775</v>
      </c>
      <c r="I15" s="304">
        <f t="shared" ca="1" si="13"/>
        <v>137.58895214925573</v>
      </c>
      <c r="J15" s="306">
        <f t="shared" ca="1" si="14"/>
        <v>45.295245629994866</v>
      </c>
      <c r="K15" s="307">
        <f t="shared" ca="1" si="15"/>
        <v>372.56174423971169</v>
      </c>
      <c r="L15" s="304">
        <f t="shared" ca="1" si="0"/>
        <v>375.3050926214803</v>
      </c>
      <c r="M15" s="306">
        <f t="shared" ca="1" si="16"/>
        <v>1.4340745792420055</v>
      </c>
      <c r="N15" s="304">
        <f t="shared" ca="1" si="17"/>
        <v>82.166420897566255</v>
      </c>
      <c r="P15" s="310">
        <f t="shared" ca="1" si="18"/>
        <v>2</v>
      </c>
      <c r="Q15" s="304">
        <f t="shared" ca="1" si="19"/>
        <v>881.38888888888937</v>
      </c>
      <c r="R15" s="306">
        <f t="shared" ca="1" si="20"/>
        <v>0.44232801790845311</v>
      </c>
      <c r="S15" s="307">
        <f t="shared" ca="1" si="21"/>
        <v>6.6470975213397008</v>
      </c>
      <c r="T15" s="304">
        <f t="shared" ca="1" si="1"/>
        <v>65.208026684342471</v>
      </c>
      <c r="U15" s="311">
        <f t="shared" ca="1" si="2"/>
        <v>0</v>
      </c>
      <c r="V15" s="306">
        <f t="shared" ca="1" si="3"/>
        <v>1.1801958028231094</v>
      </c>
      <c r="W15" s="304">
        <f t="shared" ca="1" si="4"/>
        <v>36.985820368786442</v>
      </c>
      <c r="Y15" s="314" t="str">
        <f t="shared" ca="1" si="22"/>
        <v/>
      </c>
      <c r="Z15" s="315" t="str">
        <f t="shared" ca="1" si="23"/>
        <v/>
      </c>
      <c r="AA15" s="316" t="str">
        <f t="shared" ca="1" si="24"/>
        <v/>
      </c>
      <c r="AC15" s="310" t="e">
        <f t="shared" ca="1" si="25"/>
        <v>#N/A</v>
      </c>
      <c r="AD15" s="323" t="e">
        <f t="shared" ca="1" si="26"/>
        <v>#N/A</v>
      </c>
      <c r="AE15" s="324">
        <f t="shared" ca="1" si="5"/>
        <v>372.56174423971169</v>
      </c>
      <c r="AG15" s="306">
        <f t="shared" ca="1" si="27"/>
        <v>117.40858034978928</v>
      </c>
      <c r="AH15" s="304">
        <f t="shared" ca="1" si="28"/>
        <v>127.12716452148483</v>
      </c>
    </row>
    <row r="16" spans="1:248" x14ac:dyDescent="0.2">
      <c r="A16" s="347">
        <f t="shared" ca="1" si="6"/>
        <v>0.01</v>
      </c>
      <c r="B16" s="304">
        <f t="shared" ca="1" si="7"/>
        <v>4.1199999999999974</v>
      </c>
      <c r="D16" s="306">
        <f t="shared" ca="1" si="8"/>
        <v>17.282347379536589</v>
      </c>
      <c r="E16" s="307">
        <f t="shared" ca="1" si="9"/>
        <v>115.80664759294439</v>
      </c>
      <c r="F16" s="304">
        <f t="shared" ca="1" si="10"/>
        <v>117.08910776696263</v>
      </c>
      <c r="G16" s="306">
        <f t="shared" ca="1" si="11"/>
        <v>18.925673797748715</v>
      </c>
      <c r="H16" s="307">
        <f t="shared" ca="1" si="12"/>
        <v>137.4630566936672</v>
      </c>
      <c r="I16" s="304">
        <f t="shared" ca="1" si="13"/>
        <v>138.75976752742545</v>
      </c>
      <c r="J16" s="306">
        <f t="shared" ca="1" si="14"/>
        <v>45.483638250603377</v>
      </c>
      <c r="K16" s="307">
        <f t="shared" ca="1" si="15"/>
        <v>373.9305844742687</v>
      </c>
      <c r="L16" s="304">
        <f t="shared" ca="1" si="0"/>
        <v>376.68666468801354</v>
      </c>
      <c r="M16" s="306">
        <f t="shared" ca="1" si="16"/>
        <v>1.4339782209332927</v>
      </c>
      <c r="N16" s="304">
        <f t="shared" ca="1" si="17"/>
        <v>82.160899973155992</v>
      </c>
      <c r="P16" s="310">
        <f t="shared" ca="1" si="18"/>
        <v>2</v>
      </c>
      <c r="Q16" s="304">
        <f t="shared" ca="1" si="19"/>
        <v>879.27777777777828</v>
      </c>
      <c r="R16" s="306">
        <f t="shared" ca="1" si="20"/>
        <v>0.44126854960208556</v>
      </c>
      <c r="S16" s="307">
        <f t="shared" ca="1" si="21"/>
        <v>6.6426848358436796</v>
      </c>
      <c r="T16" s="304">
        <f t="shared" ca="1" si="1"/>
        <v>65.164738239626502</v>
      </c>
      <c r="U16" s="311">
        <f t="shared" ca="1" si="2"/>
        <v>0</v>
      </c>
      <c r="V16" s="306">
        <f t="shared" ca="1" si="3"/>
        <v>1.1800342076525927</v>
      </c>
      <c r="W16" s="304">
        <f t="shared" ca="1" si="4"/>
        <v>37.612810695767159</v>
      </c>
      <c r="Y16" s="314" t="str">
        <f t="shared" ca="1" si="22"/>
        <v/>
      </c>
      <c r="Z16" s="315" t="str">
        <f t="shared" ca="1" si="23"/>
        <v/>
      </c>
      <c r="AA16" s="316" t="str">
        <f t="shared" ca="1" si="24"/>
        <v/>
      </c>
      <c r="AC16" s="310" t="e">
        <f t="shared" ca="1" si="25"/>
        <v>#N/A</v>
      </c>
      <c r="AD16" s="323" t="e">
        <f t="shared" ca="1" si="26"/>
        <v>#N/A</v>
      </c>
      <c r="AE16" s="324">
        <f t="shared" ca="1" si="5"/>
        <v>373.9305844742687</v>
      </c>
      <c r="AG16" s="306">
        <f t="shared" ca="1" si="27"/>
        <v>117.08147339828001</v>
      </c>
      <c r="AH16" s="304">
        <f t="shared" ca="1" si="28"/>
        <v>126.79992777378446</v>
      </c>
    </row>
    <row r="17" spans="1:34" x14ac:dyDescent="0.2">
      <c r="A17" s="347">
        <f t="shared" ca="1" si="6"/>
        <v>0.01</v>
      </c>
      <c r="B17" s="304">
        <f t="shared" ca="1" si="7"/>
        <v>4.1299999999999972</v>
      </c>
      <c r="D17" s="306">
        <f t="shared" ca="1" si="8"/>
        <v>17.249662449142882</v>
      </c>
      <c r="E17" s="307">
        <f t="shared" ca="1" si="9"/>
        <v>115.47966485067556</v>
      </c>
      <c r="F17" s="304">
        <f t="shared" ca="1" si="10"/>
        <v>116.76088321280257</v>
      </c>
      <c r="G17" s="306">
        <f t="shared" ca="1" si="11"/>
        <v>19.098170422240145</v>
      </c>
      <c r="H17" s="307">
        <f t="shared" ca="1" si="12"/>
        <v>138.61785334217396</v>
      </c>
      <c r="I17" s="304">
        <f t="shared" ca="1" si="13"/>
        <v>139.92730033367104</v>
      </c>
      <c r="J17" s="306">
        <f t="shared" ca="1" si="14"/>
        <v>45.673757471703318</v>
      </c>
      <c r="K17" s="307">
        <f t="shared" ca="1" si="15"/>
        <v>375.31098902444791</v>
      </c>
      <c r="L17" s="304">
        <f t="shared" ca="1" si="0"/>
        <v>378.07992621149992</v>
      </c>
      <c r="M17" s="306">
        <f t="shared" ca="1" si="16"/>
        <v>1.4338825997002649</v>
      </c>
      <c r="N17" s="304">
        <f t="shared" ca="1" si="17"/>
        <v>82.155421280071664</v>
      </c>
      <c r="P17" s="310">
        <f t="shared" ca="1" si="18"/>
        <v>2</v>
      </c>
      <c r="Q17" s="304">
        <f t="shared" ca="1" si="19"/>
        <v>877.1666666666672</v>
      </c>
      <c r="R17" s="306">
        <f t="shared" ca="1" si="20"/>
        <v>0.44020908129571801</v>
      </c>
      <c r="S17" s="307">
        <f t="shared" ca="1" si="21"/>
        <v>6.6382827450307227</v>
      </c>
      <c r="T17" s="304">
        <f t="shared" ca="1" si="1"/>
        <v>65.121553728751394</v>
      </c>
      <c r="U17" s="311">
        <f t="shared" ca="1" si="2"/>
        <v>0</v>
      </c>
      <c r="V17" s="306">
        <f t="shared" ca="1" si="3"/>
        <v>1.1798712692726403</v>
      </c>
      <c r="W17" s="304">
        <f t="shared" ca="1" si="4"/>
        <v>38.24314500973648</v>
      </c>
      <c r="Y17" s="314" t="str">
        <f t="shared" ca="1" si="22"/>
        <v/>
      </c>
      <c r="Z17" s="315" t="str">
        <f t="shared" ca="1" si="23"/>
        <v/>
      </c>
      <c r="AA17" s="316" t="str">
        <f t="shared" ca="1" si="24"/>
        <v/>
      </c>
      <c r="AC17" s="310" t="e">
        <f t="shared" ca="1" si="25"/>
        <v>#N/A</v>
      </c>
      <c r="AD17" s="323" t="e">
        <f t="shared" ca="1" si="26"/>
        <v>#N/A</v>
      </c>
      <c r="AE17" s="324">
        <f t="shared" ca="1" si="5"/>
        <v>375.31098902444791</v>
      </c>
      <c r="AG17" s="306">
        <f t="shared" ca="1" si="27"/>
        <v>116.75321665385354</v>
      </c>
      <c r="AH17" s="304">
        <f t="shared" ca="1" si="28"/>
        <v>126.47154214685601</v>
      </c>
    </row>
    <row r="18" spans="1:34" x14ac:dyDescent="0.2">
      <c r="A18" s="347">
        <f t="shared" ca="1" si="6"/>
        <v>0.01</v>
      </c>
      <c r="B18" s="304">
        <f t="shared" ca="1" si="7"/>
        <v>4.139999999999997</v>
      </c>
      <c r="D18" s="306">
        <f t="shared" ca="1" si="8"/>
        <v>17.21666677875146</v>
      </c>
      <c r="E18" s="307">
        <f t="shared" ca="1" si="9"/>
        <v>115.1515715963497</v>
      </c>
      <c r="F18" s="304">
        <f t="shared" ca="1" si="10"/>
        <v>116.43151659271562</v>
      </c>
      <c r="G18" s="306">
        <f t="shared" ca="1" si="11"/>
        <v>19.27033709002766</v>
      </c>
      <c r="H18" s="307">
        <f t="shared" ca="1" si="12"/>
        <v>139.76936905813744</v>
      </c>
      <c r="I18" s="304">
        <f t="shared" ca="1" si="13"/>
        <v>141.09153914559556</v>
      </c>
      <c r="J18" s="306">
        <f t="shared" ca="1" si="14"/>
        <v>45.865600009264661</v>
      </c>
      <c r="K18" s="307">
        <f t="shared" ca="1" si="15"/>
        <v>376.70292513644944</v>
      </c>
      <c r="L18" s="304">
        <f t="shared" ca="1" si="0"/>
        <v>379.48484432262546</v>
      </c>
      <c r="M18" s="306">
        <f t="shared" ca="1" si="16"/>
        <v>1.4337877016376703</v>
      </c>
      <c r="N18" s="304">
        <f t="shared" ca="1" si="17"/>
        <v>82.149984021601028</v>
      </c>
      <c r="P18" s="310">
        <f t="shared" ca="1" si="18"/>
        <v>2</v>
      </c>
      <c r="Q18" s="304">
        <f t="shared" ca="1" si="19"/>
        <v>875.05555555555611</v>
      </c>
      <c r="R18" s="306">
        <f t="shared" ca="1" si="20"/>
        <v>0.43914961298935051</v>
      </c>
      <c r="S18" s="307">
        <f t="shared" ca="1" si="21"/>
        <v>6.633891248900829</v>
      </c>
      <c r="T18" s="304">
        <f t="shared" ca="1" si="1"/>
        <v>65.078473151717134</v>
      </c>
      <c r="U18" s="311">
        <f t="shared" ca="1" si="2"/>
        <v>0</v>
      </c>
      <c r="V18" s="306">
        <f t="shared" ca="1" si="3"/>
        <v>1.1797069920990113</v>
      </c>
      <c r="W18" s="304">
        <f t="shared" ca="1" si="4"/>
        <v>38.876768607909383</v>
      </c>
      <c r="Y18" s="314" t="str">
        <f t="shared" ca="1" si="22"/>
        <v/>
      </c>
      <c r="Z18" s="315" t="str">
        <f t="shared" ca="1" si="23"/>
        <v/>
      </c>
      <c r="AA18" s="316" t="str">
        <f t="shared" ca="1" si="24"/>
        <v/>
      </c>
      <c r="AC18" s="310" t="e">
        <f t="shared" ca="1" si="25"/>
        <v>#N/A</v>
      </c>
      <c r="AD18" s="323" t="e">
        <f t="shared" ca="1" si="26"/>
        <v>#N/A</v>
      </c>
      <c r="AE18" s="324">
        <f t="shared" ca="1" si="5"/>
        <v>376.70292513644944</v>
      </c>
      <c r="AG18" s="306">
        <f t="shared" ca="1" si="27"/>
        <v>116.4238176614564</v>
      </c>
      <c r="AH18" s="304">
        <f t="shared" ca="1" si="28"/>
        <v>126.14201516861937</v>
      </c>
    </row>
    <row r="19" spans="1:34" x14ac:dyDescent="0.2">
      <c r="A19" s="347">
        <f t="shared" ca="1" si="6"/>
        <v>0.01</v>
      </c>
      <c r="B19" s="304">
        <f t="shared" ca="1" si="7"/>
        <v>4.1499999999999968</v>
      </c>
      <c r="D19" s="306">
        <f t="shared" ca="1" si="8"/>
        <v>17.183363536642396</v>
      </c>
      <c r="E19" s="307">
        <f t="shared" ca="1" si="9"/>
        <v>114.82237506395199</v>
      </c>
      <c r="F19" s="304">
        <f t="shared" ca="1" si="10"/>
        <v>116.10101548978491</v>
      </c>
      <c r="G19" s="306">
        <f t="shared" ca="1" si="11"/>
        <v>19.442170725394085</v>
      </c>
      <c r="H19" s="307">
        <f t="shared" ca="1" si="12"/>
        <v>140.91759280877696</v>
      </c>
      <c r="I19" s="304">
        <f t="shared" ca="1" si="13"/>
        <v>142.25247261659686</v>
      </c>
      <c r="J19" s="306">
        <f t="shared" ca="1" si="14"/>
        <v>46.059162548341767</v>
      </c>
      <c r="K19" s="307">
        <f t="shared" ca="1" si="15"/>
        <v>378.10635994578399</v>
      </c>
      <c r="L19" s="304">
        <f t="shared" ca="1" si="0"/>
        <v>380.90138603857213</v>
      </c>
      <c r="M19" s="306">
        <f t="shared" ca="1" si="16"/>
        <v>1.4336935132148789</v>
      </c>
      <c r="N19" s="304">
        <f t="shared" ca="1" si="17"/>
        <v>82.144587422496073</v>
      </c>
      <c r="P19" s="310">
        <f t="shared" ca="1" si="18"/>
        <v>2</v>
      </c>
      <c r="Q19" s="304">
        <f t="shared" ca="1" si="19"/>
        <v>872.94444444444514</v>
      </c>
      <c r="R19" s="306">
        <f t="shared" ca="1" si="20"/>
        <v>0.43809014468298302</v>
      </c>
      <c r="S19" s="307">
        <f t="shared" ca="1" si="21"/>
        <v>6.6295103474539996</v>
      </c>
      <c r="T19" s="304">
        <f t="shared" ca="1" si="1"/>
        <v>65.035496508523735</v>
      </c>
      <c r="U19" s="311">
        <f t="shared" ca="1" si="2"/>
        <v>0</v>
      </c>
      <c r="V19" s="306">
        <f t="shared" ca="1" si="3"/>
        <v>1.179541380562819</v>
      </c>
      <c r="W19" s="304">
        <f t="shared" ca="1" si="4"/>
        <v>39.513626763265101</v>
      </c>
      <c r="Y19" s="314" t="str">
        <f t="shared" ca="1" si="22"/>
        <v/>
      </c>
      <c r="Z19" s="315" t="str">
        <f t="shared" ca="1" si="23"/>
        <v/>
      </c>
      <c r="AA19" s="316" t="str">
        <f t="shared" ca="1" si="24"/>
        <v/>
      </c>
      <c r="AC19" s="310" t="e">
        <f t="shared" ca="1" si="25"/>
        <v>#N/A</v>
      </c>
      <c r="AD19" s="323" t="e">
        <f t="shared" ca="1" si="26"/>
        <v>#N/A</v>
      </c>
      <c r="AE19" s="324">
        <f t="shared" ca="1" si="5"/>
        <v>378.10635994578399</v>
      </c>
      <c r="AG19" s="306">
        <f t="shared" ca="1" si="27"/>
        <v>116.09328400078127</v>
      </c>
      <c r="AH19" s="304">
        <f t="shared" ca="1" si="28"/>
        <v>125.81135440219224</v>
      </c>
    </row>
    <row r="20" spans="1:34" x14ac:dyDescent="0.2">
      <c r="A20" s="347">
        <f t="shared" ca="1" si="6"/>
        <v>0.01</v>
      </c>
      <c r="B20" s="304">
        <f t="shared" ca="1" si="7"/>
        <v>4.1599999999999966</v>
      </c>
      <c r="D20" s="306">
        <f t="shared" ca="1" si="8"/>
        <v>17.149755838652982</v>
      </c>
      <c r="E20" s="307">
        <f t="shared" ca="1" si="9"/>
        <v>114.49208252850642</v>
      </c>
      <c r="F20" s="304">
        <f t="shared" ca="1" si="10"/>
        <v>115.76938752122572</v>
      </c>
      <c r="G20" s="306">
        <f t="shared" ca="1" si="11"/>
        <v>19.613668283780616</v>
      </c>
      <c r="H20" s="307">
        <f t="shared" ca="1" si="12"/>
        <v>142.06251363406201</v>
      </c>
      <c r="I20" s="304">
        <f t="shared" ca="1" si="13"/>
        <v>143.4100894762089</v>
      </c>
      <c r="J20" s="306">
        <f t="shared" ca="1" si="14"/>
        <v>46.254441743387638</v>
      </c>
      <c r="K20" s="307">
        <f t="shared" ca="1" si="15"/>
        <v>379.52126047799817</v>
      </c>
      <c r="L20" s="304">
        <f t="shared" ca="1" si="0"/>
        <v>382.32951826376285</v>
      </c>
      <c r="M20" s="306">
        <f t="shared" ca="1" si="16"/>
        <v>1.4336000212623918</v>
      </c>
      <c r="N20" s="304">
        <f t="shared" ca="1" si="17"/>
        <v>82.139230728200133</v>
      </c>
      <c r="P20" s="310">
        <f t="shared" ca="1" si="18"/>
        <v>2</v>
      </c>
      <c r="Q20" s="304">
        <f t="shared" ca="1" si="19"/>
        <v>870.83333333333405</v>
      </c>
      <c r="R20" s="306">
        <f t="shared" ca="1" si="20"/>
        <v>0.43703067637661547</v>
      </c>
      <c r="S20" s="307">
        <f t="shared" ca="1" si="21"/>
        <v>6.6251400406902334</v>
      </c>
      <c r="T20" s="304">
        <f t="shared" ca="1" si="1"/>
        <v>64.992623799171199</v>
      </c>
      <c r="U20" s="311">
        <f t="shared" ca="1" si="2"/>
        <v>0</v>
      </c>
      <c r="V20" s="306">
        <f t="shared" ca="1" si="3"/>
        <v>1.1793744391103873</v>
      </c>
      <c r="W20" s="304">
        <f t="shared" ca="1" si="4"/>
        <v>40.153664728698189</v>
      </c>
      <c r="Y20" s="314" t="str">
        <f t="shared" ca="1" si="22"/>
        <v/>
      </c>
      <c r="Z20" s="315" t="str">
        <f t="shared" ca="1" si="23"/>
        <v/>
      </c>
      <c r="AA20" s="316" t="str">
        <f t="shared" ca="1" si="24"/>
        <v/>
      </c>
      <c r="AC20" s="310" t="e">
        <f t="shared" ca="1" si="25"/>
        <v>#N/A</v>
      </c>
      <c r="AD20" s="323" t="e">
        <f t="shared" ca="1" si="26"/>
        <v>#N/A</v>
      </c>
      <c r="AE20" s="324">
        <f t="shared" ca="1" si="5"/>
        <v>379.52126047799817</v>
      </c>
      <c r="AG20" s="306">
        <f t="shared" ca="1" si="27"/>
        <v>115.761623285651</v>
      </c>
      <c r="AH20" s="304">
        <f t="shared" ca="1" si="28"/>
        <v>125.47956744525793</v>
      </c>
    </row>
    <row r="21" spans="1:34" x14ac:dyDescent="0.2">
      <c r="A21" s="347">
        <f t="shared" ca="1" si="6"/>
        <v>0.01</v>
      </c>
      <c r="B21" s="304">
        <f t="shared" ca="1" si="7"/>
        <v>4.1699999999999964</v>
      </c>
      <c r="D21" s="306">
        <f t="shared" ca="1" si="8"/>
        <v>17.115846750193295</v>
      </c>
      <c r="E21" s="307">
        <f t="shared" ca="1" si="9"/>
        <v>114.1607013052004</v>
      </c>
      <c r="F21" s="304">
        <f t="shared" ca="1" si="10"/>
        <v>115.43664033776835</v>
      </c>
      <c r="G21" s="306">
        <f t="shared" ca="1" si="11"/>
        <v>19.784826751282548</v>
      </c>
      <c r="H21" s="307">
        <f t="shared" ca="1" si="12"/>
        <v>143.20412064711402</v>
      </c>
      <c r="I21" s="304">
        <f t="shared" ca="1" si="13"/>
        <v>144.56437853043693</v>
      </c>
      <c r="J21" s="306">
        <f t="shared" ca="1" si="14"/>
        <v>46.451434218562952</v>
      </c>
      <c r="K21" s="307">
        <f t="shared" ca="1" si="15"/>
        <v>380.94759364940404</v>
      </c>
      <c r="L21" s="304">
        <f t="shared" ca="1" si="0"/>
        <v>383.76920779061072</v>
      </c>
      <c r="M21" s="306">
        <f t="shared" ca="1" si="16"/>
        <v>1.4335072129589586</v>
      </c>
      <c r="N21" s="304">
        <f t="shared" ca="1" si="17"/>
        <v>82.133913204109632</v>
      </c>
      <c r="P21" s="310">
        <f t="shared" ca="1" si="18"/>
        <v>2</v>
      </c>
      <c r="Q21" s="304">
        <f t="shared" ca="1" si="19"/>
        <v>868.72222222222297</v>
      </c>
      <c r="R21" s="306">
        <f t="shared" ca="1" si="20"/>
        <v>0.43597120807024792</v>
      </c>
      <c r="S21" s="307">
        <f t="shared" ca="1" si="21"/>
        <v>6.6207803286095306</v>
      </c>
      <c r="T21" s="304">
        <f t="shared" ca="1" si="1"/>
        <v>64.949855023659495</v>
      </c>
      <c r="U21" s="311">
        <f t="shared" ca="1" si="2"/>
        <v>0</v>
      </c>
      <c r="V21" s="306">
        <f t="shared" ca="1" si="3"/>
        <v>1.1792061722031091</v>
      </c>
      <c r="W21" s="304">
        <f t="shared" ca="1" si="4"/>
        <v>40.796827741159802</v>
      </c>
      <c r="Y21" s="314" t="str">
        <f t="shared" ca="1" si="22"/>
        <v/>
      </c>
      <c r="Z21" s="315" t="str">
        <f t="shared" ca="1" si="23"/>
        <v/>
      </c>
      <c r="AA21" s="316" t="str">
        <f t="shared" ca="1" si="24"/>
        <v/>
      </c>
      <c r="AC21" s="310" t="e">
        <f t="shared" ca="1" si="25"/>
        <v>#N/A</v>
      </c>
      <c r="AD21" s="323" t="e">
        <f t="shared" ca="1" si="26"/>
        <v>#N/A</v>
      </c>
      <c r="AE21" s="324">
        <f t="shared" ca="1" si="5"/>
        <v>380.94759364940404</v>
      </c>
      <c r="AG21" s="306">
        <f t="shared" ca="1" si="27"/>
        <v>115.42884316339968</v>
      </c>
      <c r="AH21" s="304">
        <f t="shared" ca="1" si="28"/>
        <v>125.1466619294311</v>
      </c>
    </row>
    <row r="22" spans="1:34" x14ac:dyDescent="0.2">
      <c r="A22" s="347">
        <f t="shared" ca="1" si="6"/>
        <v>0.01</v>
      </c>
      <c r="B22" s="304">
        <f t="shared" ca="1" si="7"/>
        <v>4.1799999999999962</v>
      </c>
      <c r="D22" s="306">
        <f t="shared" ca="1" si="8"/>
        <v>17.081639288167018</v>
      </c>
      <c r="E22" s="307">
        <f t="shared" ca="1" si="9"/>
        <v>113.82823874851877</v>
      </c>
      <c r="F22" s="304">
        <f t="shared" ca="1" si="10"/>
        <v>115.1027816230383</v>
      </c>
      <c r="G22" s="306">
        <f t="shared" ca="1" si="11"/>
        <v>19.955643144164217</v>
      </c>
      <c r="H22" s="307">
        <f t="shared" ca="1" si="12"/>
        <v>144.34240303459922</v>
      </c>
      <c r="I22" s="304">
        <f t="shared" ca="1" si="13"/>
        <v>145.71532866208656</v>
      </c>
      <c r="J22" s="306">
        <f t="shared" ca="1" si="14"/>
        <v>46.650136568040189</v>
      </c>
      <c r="K22" s="307">
        <f t="shared" ca="1" si="15"/>
        <v>382.38532626781262</v>
      </c>
      <c r="L22" s="304">
        <f t="shared" ca="1" si="0"/>
        <v>385.22042130027103</v>
      </c>
      <c r="M22" s="306">
        <f t="shared" ca="1" si="16"/>
        <v>1.4334150758192612</v>
      </c>
      <c r="N22" s="304">
        <f t="shared" ca="1" si="17"/>
        <v>82.128634134868577</v>
      </c>
      <c r="P22" s="310">
        <f t="shared" ca="1" si="18"/>
        <v>2</v>
      </c>
      <c r="Q22" s="304">
        <f t="shared" ca="1" si="19"/>
        <v>866.61111111111188</v>
      </c>
      <c r="R22" s="306">
        <f t="shared" ca="1" si="20"/>
        <v>0.43491173976388037</v>
      </c>
      <c r="S22" s="307">
        <f t="shared" ca="1" si="21"/>
        <v>6.6164312112118919</v>
      </c>
      <c r="T22" s="304">
        <f t="shared" ca="1" si="1"/>
        <v>64.907190181988668</v>
      </c>
      <c r="U22" s="311">
        <f t="shared" ca="1" si="2"/>
        <v>0</v>
      </c>
      <c r="V22" s="306">
        <f t="shared" ca="1" si="3"/>
        <v>1.1790365843173036</v>
      </c>
      <c r="W22" s="304">
        <f t="shared" ca="1" si="4"/>
        <v>41.443061025788616</v>
      </c>
      <c r="Y22" s="314" t="str">
        <f t="shared" ca="1" si="22"/>
        <v/>
      </c>
      <c r="Z22" s="315" t="str">
        <f t="shared" ca="1" si="23"/>
        <v/>
      </c>
      <c r="AA22" s="316" t="str">
        <f t="shared" ca="1" si="24"/>
        <v/>
      </c>
      <c r="AC22" s="310" t="e">
        <f t="shared" ca="1" si="25"/>
        <v>#N/A</v>
      </c>
      <c r="AD22" s="323" t="e">
        <f t="shared" ca="1" si="26"/>
        <v>#N/A</v>
      </c>
      <c r="AE22" s="324">
        <f t="shared" ca="1" si="5"/>
        <v>382.38532626781262</v>
      </c>
      <c r="AG22" s="306">
        <f t="shared" ca="1" si="27"/>
        <v>115.09495131425153</v>
      </c>
      <c r="AH22" s="304">
        <f t="shared" ca="1" si="28"/>
        <v>124.81264551962185</v>
      </c>
    </row>
    <row r="23" spans="1:34" x14ac:dyDescent="0.2">
      <c r="A23" s="347">
        <f t="shared" ca="1" si="6"/>
        <v>0.01</v>
      </c>
      <c r="B23" s="304">
        <f t="shared" ca="1" si="7"/>
        <v>4.1899999999999959</v>
      </c>
      <c r="D23" s="306">
        <f t="shared" ca="1" si="8"/>
        <v>17.047136422803366</v>
      </c>
      <c r="E23" s="307">
        <f t="shared" ca="1" si="9"/>
        <v>113.49470225138587</v>
      </c>
      <c r="F23" s="304">
        <f t="shared" ca="1" si="10"/>
        <v>114.76781909293391</v>
      </c>
      <c r="G23" s="306">
        <f t="shared" ca="1" si="11"/>
        <v>20.126114508392252</v>
      </c>
      <c r="H23" s="307">
        <f t="shared" ca="1" si="12"/>
        <v>145.47735005711309</v>
      </c>
      <c r="I23" s="304">
        <f t="shared" ca="1" si="13"/>
        <v>146.86292883108635</v>
      </c>
      <c r="J23" s="306">
        <f t="shared" ca="1" si="14"/>
        <v>46.850545356302973</v>
      </c>
      <c r="K23" s="307">
        <f t="shared" ca="1" si="15"/>
        <v>383.8344250332712</v>
      </c>
      <c r="L23" s="304">
        <f t="shared" ca="1" si="0"/>
        <v>386.68312536339738</v>
      </c>
      <c r="M23" s="306">
        <f t="shared" ca="1" si="16"/>
        <v>1.433323597682143</v>
      </c>
      <c r="N23" s="304">
        <f t="shared" ca="1" si="17"/>
        <v>82.123392823693976</v>
      </c>
      <c r="P23" s="310">
        <f t="shared" ca="1" si="18"/>
        <v>2</v>
      </c>
      <c r="Q23" s="304">
        <f t="shared" ca="1" si="19"/>
        <v>864.5000000000008</v>
      </c>
      <c r="R23" s="306">
        <f t="shared" ca="1" si="20"/>
        <v>0.43385227145751287</v>
      </c>
      <c r="S23" s="307">
        <f t="shared" ca="1" si="21"/>
        <v>6.6120926884973166</v>
      </c>
      <c r="T23" s="304">
        <f t="shared" ca="1" si="1"/>
        <v>64.864629274158673</v>
      </c>
      <c r="U23" s="311">
        <f t="shared" ca="1" si="2"/>
        <v>0</v>
      </c>
      <c r="V23" s="306">
        <f t="shared" ca="1" si="3"/>
        <v>1.1788656799440729</v>
      </c>
      <c r="W23" s="304">
        <f t="shared" ca="1" si="4"/>
        <v>42.092309800030698</v>
      </c>
      <c r="Y23" s="314" t="str">
        <f t="shared" ca="1" si="22"/>
        <v/>
      </c>
      <c r="Z23" s="315" t="str">
        <f t="shared" ca="1" si="23"/>
        <v/>
      </c>
      <c r="AA23" s="316" t="str">
        <f t="shared" ca="1" si="24"/>
        <v/>
      </c>
      <c r="AC23" s="310" t="e">
        <f t="shared" ca="1" si="25"/>
        <v>#N/A</v>
      </c>
      <c r="AD23" s="323" t="e">
        <f t="shared" ca="1" si="26"/>
        <v>#N/A</v>
      </c>
      <c r="AE23" s="324">
        <f t="shared" ca="1" si="5"/>
        <v>383.8344250332712</v>
      </c>
      <c r="AG23" s="306">
        <f t="shared" ca="1" si="27"/>
        <v>114.75995545069698</v>
      </c>
      <c r="AH23" s="304">
        <f t="shared" ca="1" si="28"/>
        <v>124.47752591339768</v>
      </c>
    </row>
    <row r="24" spans="1:34" x14ac:dyDescent="0.2">
      <c r="A24" s="347">
        <f t="shared" ca="1" si="6"/>
        <v>0.01</v>
      </c>
      <c r="B24" s="304">
        <f t="shared" ca="1" si="7"/>
        <v>4.1999999999999957</v>
      </c>
      <c r="D24" s="306">
        <f t="shared" ca="1" si="8"/>
        <v>17.012341079404063</v>
      </c>
      <c r="E24" s="307">
        <f t="shared" ca="1" si="9"/>
        <v>113.16009924431637</v>
      </c>
      <c r="F24" s="304">
        <f t="shared" ca="1" si="10"/>
        <v>114.43176049500204</v>
      </c>
      <c r="G24" s="306">
        <f t="shared" ca="1" si="11"/>
        <v>20.296237919186293</v>
      </c>
      <c r="H24" s="307">
        <f t="shared" ca="1" si="12"/>
        <v>146.60895104955625</v>
      </c>
      <c r="I24" s="304">
        <f t="shared" ca="1" si="13"/>
        <v>148.00716807480438</v>
      </c>
      <c r="J24" s="306">
        <f t="shared" ca="1" si="14"/>
        <v>47.052657118440862</v>
      </c>
      <c r="K24" s="307">
        <f t="shared" ca="1" si="15"/>
        <v>385.29485653880454</v>
      </c>
      <c r="L24" s="304">
        <f t="shared" ca="1" si="0"/>
        <v>388.15728644090086</v>
      </c>
      <c r="M24" s="306">
        <f t="shared" ca="1" si="16"/>
        <v>1.4332327666993465</v>
      </c>
      <c r="N24" s="304">
        <f t="shared" ca="1" si="17"/>
        <v>82.118188591730714</v>
      </c>
      <c r="P24" s="310">
        <f t="shared" ca="1" si="18"/>
        <v>2</v>
      </c>
      <c r="Q24" s="304">
        <f t="shared" ca="1" si="19"/>
        <v>862.38888888888971</v>
      </c>
      <c r="R24" s="306">
        <f t="shared" ca="1" si="20"/>
        <v>0.43279280315114532</v>
      </c>
      <c r="S24" s="307">
        <f t="shared" ca="1" si="21"/>
        <v>6.6077647604658054</v>
      </c>
      <c r="T24" s="304">
        <f t="shared" ca="1" si="1"/>
        <v>64.822172300169555</v>
      </c>
      <c r="U24" s="311">
        <f t="shared" ca="1" si="2"/>
        <v>0</v>
      </c>
      <c r="V24" s="306">
        <f t="shared" ca="1" si="3"/>
        <v>1.1786934635891579</v>
      </c>
      <c r="W24" s="304">
        <f t="shared" ca="1" si="4"/>
        <v>42.744519277748175</v>
      </c>
      <c r="Y24" s="314" t="str">
        <f t="shared" ca="1" si="22"/>
        <v/>
      </c>
      <c r="Z24" s="315" t="str">
        <f t="shared" ca="1" si="23"/>
        <v/>
      </c>
      <c r="AA24" s="316" t="str">
        <f t="shared" ca="1" si="24"/>
        <v/>
      </c>
      <c r="AC24" s="310" t="e">
        <f t="shared" ca="1" si="25"/>
        <v>#N/A</v>
      </c>
      <c r="AD24" s="323" t="e">
        <f t="shared" ca="1" si="26"/>
        <v>#N/A</v>
      </c>
      <c r="AE24" s="324">
        <f t="shared" ca="1" si="5"/>
        <v>385.29485653880454</v>
      </c>
      <c r="AG24" s="306">
        <f t="shared" ca="1" si="27"/>
        <v>114.42386331686693</v>
      </c>
      <c r="AH24" s="304">
        <f t="shared" ca="1" si="28"/>
        <v>124.14131084034435</v>
      </c>
    </row>
    <row r="25" spans="1:34" x14ac:dyDescent="0.2">
      <c r="A25" s="347">
        <f t="shared" ca="1" si="6"/>
        <v>0.01</v>
      </c>
      <c r="B25" s="304">
        <f t="shared" ca="1" si="7"/>
        <v>4.2099999999999955</v>
      </c>
      <c r="D25" s="306">
        <f t="shared" ca="1" si="8"/>
        <v>16.977256140010436</v>
      </c>
      <c r="E25" s="307">
        <f t="shared" ca="1" si="9"/>
        <v>112.82443719457333</v>
      </c>
      <c r="F25" s="304">
        <f t="shared" ca="1" si="10"/>
        <v>114.09461360781124</v>
      </c>
      <c r="G25" s="306">
        <f t="shared" ca="1" si="11"/>
        <v>20.466010480586398</v>
      </c>
      <c r="H25" s="307">
        <f t="shared" ca="1" si="12"/>
        <v>147.73719542150198</v>
      </c>
      <c r="I25" s="304">
        <f t="shared" ca="1" si="13"/>
        <v>149.14803550835839</v>
      </c>
      <c r="J25" s="306">
        <f t="shared" ca="1" si="14"/>
        <v>47.256468360439726</v>
      </c>
      <c r="K25" s="307">
        <f t="shared" ca="1" si="15"/>
        <v>386.76658727115984</v>
      </c>
      <c r="L25" s="304">
        <f t="shared" ca="1" si="0"/>
        <v>389.64287088471275</v>
      </c>
      <c r="M25" s="306">
        <f t="shared" ca="1" si="16"/>
        <v>1.4331425713247397</v>
      </c>
      <c r="N25" s="304">
        <f t="shared" ca="1" si="17"/>
        <v>82.113020777434144</v>
      </c>
      <c r="P25" s="310">
        <f t="shared" ca="1" si="18"/>
        <v>2</v>
      </c>
      <c r="Q25" s="304">
        <f t="shared" ca="1" si="19"/>
        <v>860.27777777777874</v>
      </c>
      <c r="R25" s="306">
        <f t="shared" ca="1" si="20"/>
        <v>0.43173333484477783</v>
      </c>
      <c r="S25" s="307">
        <f t="shared" ca="1" si="21"/>
        <v>6.6034474271173575</v>
      </c>
      <c r="T25" s="304">
        <f t="shared" ca="1" si="1"/>
        <v>64.779819260021284</v>
      </c>
      <c r="U25" s="311">
        <f t="shared" ca="1" si="2"/>
        <v>0</v>
      </c>
      <c r="V25" s="306">
        <f t="shared" ca="1" si="3"/>
        <v>1.1785199397727948</v>
      </c>
      <c r="W25" s="304">
        <f t="shared" ca="1" si="4"/>
        <v>43.399634673315752</v>
      </c>
      <c r="Y25" s="314" t="str">
        <f t="shared" ca="1" si="22"/>
        <v/>
      </c>
      <c r="Z25" s="315" t="str">
        <f t="shared" ca="1" si="23"/>
        <v/>
      </c>
      <c r="AA25" s="316" t="str">
        <f t="shared" ca="1" si="24"/>
        <v/>
      </c>
      <c r="AC25" s="310" t="e">
        <f t="shared" ca="1" si="25"/>
        <v>#N/A</v>
      </c>
      <c r="AD25" s="323" t="e">
        <f t="shared" ca="1" si="26"/>
        <v>#N/A</v>
      </c>
      <c r="AE25" s="324">
        <f t="shared" ca="1" si="5"/>
        <v>386.76658727115984</v>
      </c>
      <c r="AG25" s="306">
        <f t="shared" ca="1" si="27"/>
        <v>114.08668268790449</v>
      </c>
      <c r="AH25" s="304">
        <f t="shared" ca="1" si="28"/>
        <v>123.80400806142455</v>
      </c>
    </row>
    <row r="26" spans="1:34" x14ac:dyDescent="0.2">
      <c r="A26" s="347">
        <f t="shared" ca="1" si="6"/>
        <v>0.01</v>
      </c>
      <c r="B26" s="304">
        <f t="shared" ca="1" si="7"/>
        <v>4.2199999999999953</v>
      </c>
      <c r="D26" s="306">
        <f t="shared" ca="1" si="8"/>
        <v>16.941884444994283</v>
      </c>
      <c r="E26" s="307">
        <f t="shared" ca="1" si="9"/>
        <v>112.48772360533398</v>
      </c>
      <c r="F26" s="304">
        <f t="shared" ca="1" si="10"/>
        <v>113.75638624032301</v>
      </c>
      <c r="G26" s="306">
        <f t="shared" ca="1" si="11"/>
        <v>20.635429325036341</v>
      </c>
      <c r="H26" s="307">
        <f t="shared" ca="1" si="12"/>
        <v>148.86207265755533</v>
      </c>
      <c r="I26" s="304">
        <f t="shared" ca="1" si="13"/>
        <v>150.2855203249197</v>
      </c>
      <c r="J26" s="306">
        <f t="shared" ca="1" si="14"/>
        <v>47.461975559467838</v>
      </c>
      <c r="K26" s="307">
        <f t="shared" ca="1" si="15"/>
        <v>388.24958361155512</v>
      </c>
      <c r="L26" s="304">
        <f t="shared" ca="1" si="0"/>
        <v>391.13984493855065</v>
      </c>
      <c r="M26" s="306">
        <f t="shared" ca="1" si="16"/>
        <v>1.4330530003040021</v>
      </c>
      <c r="N26" s="304">
        <f t="shared" ca="1" si="17"/>
        <v>82.107888735979202</v>
      </c>
      <c r="P26" s="310">
        <f t="shared" ca="1" si="18"/>
        <v>2</v>
      </c>
      <c r="Q26" s="304">
        <f t="shared" ca="1" si="19"/>
        <v>858.16666666666765</v>
      </c>
      <c r="R26" s="306">
        <f t="shared" ca="1" si="20"/>
        <v>0.43067386653841028</v>
      </c>
      <c r="S26" s="307">
        <f t="shared" ca="1" si="21"/>
        <v>6.5991406884519739</v>
      </c>
      <c r="T26" s="304">
        <f t="shared" ca="1" si="1"/>
        <v>64.737570153713861</v>
      </c>
      <c r="U26" s="311">
        <f t="shared" ca="1" si="2"/>
        <v>0</v>
      </c>
      <c r="V26" s="306">
        <f t="shared" ca="1" si="3"/>
        <v>1.1783451130295701</v>
      </c>
      <c r="W26" s="304">
        <f t="shared" ca="1" si="4"/>
        <v>44.057601205704913</v>
      </c>
      <c r="Y26" s="314" t="str">
        <f t="shared" ca="1" si="22"/>
        <v/>
      </c>
      <c r="Z26" s="315" t="str">
        <f t="shared" ca="1" si="23"/>
        <v/>
      </c>
      <c r="AA26" s="316" t="str">
        <f t="shared" ca="1" si="24"/>
        <v/>
      </c>
      <c r="AC26" s="310" t="e">
        <f t="shared" ca="1" si="25"/>
        <v>#N/A</v>
      </c>
      <c r="AD26" s="323" t="e">
        <f t="shared" ca="1" si="26"/>
        <v>#N/A</v>
      </c>
      <c r="AE26" s="324">
        <f t="shared" ca="1" si="5"/>
        <v>388.24958361155512</v>
      </c>
      <c r="AG26" s="306">
        <f t="shared" ca="1" si="27"/>
        <v>113.74842136933484</v>
      </c>
      <c r="AH26" s="304">
        <f t="shared" ca="1" si="28"/>
        <v>123.46562536833564</v>
      </c>
    </row>
    <row r="27" spans="1:34" x14ac:dyDescent="0.2">
      <c r="A27" s="347">
        <f t="shared" ca="1" si="6"/>
        <v>0.01</v>
      </c>
      <c r="B27" s="304">
        <f t="shared" ca="1" si="7"/>
        <v>4.2299999999999951</v>
      </c>
      <c r="D27" s="306">
        <f t="shared" ca="1" si="8"/>
        <v>16.906228794576663</v>
      </c>
      <c r="E27" s="307">
        <f t="shared" ca="1" si="9"/>
        <v>112.14996601486227</v>
      </c>
      <c r="F27" s="304">
        <f t="shared" ca="1" si="10"/>
        <v>113.41708623126119</v>
      </c>
      <c r="G27" s="306">
        <f t="shared" ca="1" si="11"/>
        <v>20.804491612982108</v>
      </c>
      <c r="H27" s="307">
        <f t="shared" ca="1" si="12"/>
        <v>149.98357231770396</v>
      </c>
      <c r="I27" s="304">
        <f t="shared" ca="1" si="13"/>
        <v>151.41961179601068</v>
      </c>
      <c r="J27" s="306">
        <f t="shared" ca="1" si="14"/>
        <v>47.669175164157927</v>
      </c>
      <c r="K27" s="307">
        <f t="shared" ca="1" si="15"/>
        <v>389.74381183643141</v>
      </c>
      <c r="L27" s="304">
        <f t="shared" ca="1" si="0"/>
        <v>392.64817473868743</v>
      </c>
      <c r="M27" s="306">
        <f t="shared" ca="1" si="16"/>
        <v>1.4329640426647479</v>
      </c>
      <c r="N27" s="304">
        <f t="shared" ca="1" si="17"/>
        <v>82.102791838694486</v>
      </c>
      <c r="P27" s="310">
        <f t="shared" ca="1" si="18"/>
        <v>2</v>
      </c>
      <c r="Q27" s="304">
        <f t="shared" ca="1" si="19"/>
        <v>856.05555555555657</v>
      </c>
      <c r="R27" s="306">
        <f t="shared" ca="1" si="20"/>
        <v>0.42961439823204278</v>
      </c>
      <c r="S27" s="307">
        <f t="shared" ca="1" si="21"/>
        <v>6.5948445444696535</v>
      </c>
      <c r="T27" s="304">
        <f t="shared" ca="1" si="1"/>
        <v>64.695424981247299</v>
      </c>
      <c r="U27" s="311">
        <f t="shared" ca="1" si="2"/>
        <v>0</v>
      </c>
      <c r="V27" s="306">
        <f t="shared" ca="1" si="3"/>
        <v>1.1781689879082766</v>
      </c>
      <c r="W27" s="304">
        <f t="shared" ca="1" si="4"/>
        <v>44.718364102555036</v>
      </c>
      <c r="Y27" s="314" t="str">
        <f t="shared" ca="1" si="22"/>
        <v/>
      </c>
      <c r="Z27" s="315" t="str">
        <f t="shared" ca="1" si="23"/>
        <v/>
      </c>
      <c r="AA27" s="316" t="str">
        <f t="shared" ca="1" si="24"/>
        <v/>
      </c>
      <c r="AC27" s="310" t="e">
        <f t="shared" ca="1" si="25"/>
        <v>#N/A</v>
      </c>
      <c r="AD27" s="323" t="e">
        <f t="shared" ca="1" si="26"/>
        <v>#N/A</v>
      </c>
      <c r="AE27" s="324">
        <f t="shared" ca="1" si="5"/>
        <v>389.74381183643141</v>
      </c>
      <c r="AG27" s="306">
        <f t="shared" ca="1" si="27"/>
        <v>113.40908719643332</v>
      </c>
      <c r="AH27" s="304">
        <f t="shared" ca="1" si="28"/>
        <v>123.12617058286567</v>
      </c>
    </row>
    <row r="28" spans="1:34" x14ac:dyDescent="0.2">
      <c r="A28" s="347">
        <f t="shared" ca="1" si="6"/>
        <v>0.01</v>
      </c>
      <c r="B28" s="304">
        <f t="shared" ca="1" si="7"/>
        <v>4.2399999999999949</v>
      </c>
      <c r="D28" s="306">
        <f t="shared" ca="1" si="8"/>
        <v>16.870291950278364</v>
      </c>
      <c r="E28" s="307">
        <f t="shared" ca="1" si="9"/>
        <v>111.81117199568833</v>
      </c>
      <c r="F28" s="304">
        <f t="shared" ca="1" si="10"/>
        <v>113.0767214484795</v>
      </c>
      <c r="G28" s="306">
        <f t="shared" ca="1" si="11"/>
        <v>20.973194532484893</v>
      </c>
      <c r="H28" s="307">
        <f t="shared" ca="1" si="12"/>
        <v>151.10168403766085</v>
      </c>
      <c r="I28" s="304">
        <f t="shared" ca="1" si="13"/>
        <v>152.55029927179606</v>
      </c>
      <c r="J28" s="306">
        <f t="shared" ca="1" si="14"/>
        <v>47.878063594885262</v>
      </c>
      <c r="K28" s="307">
        <f t="shared" ca="1" si="15"/>
        <v>391.24923811820821</v>
      </c>
      <c r="L28" s="304">
        <f t="shared" ca="1" si="0"/>
        <v>394.16782631472381</v>
      </c>
      <c r="M28" s="306">
        <f t="shared" ca="1" si="16"/>
        <v>1.4328756877070656</v>
      </c>
      <c r="N28" s="304">
        <f t="shared" ca="1" si="17"/>
        <v>82.097729472520243</v>
      </c>
      <c r="P28" s="310">
        <f t="shared" ca="1" si="18"/>
        <v>2</v>
      </c>
      <c r="Q28" s="304">
        <f t="shared" ca="1" si="19"/>
        <v>853.94444444444548</v>
      </c>
      <c r="R28" s="306">
        <f t="shared" ca="1" si="20"/>
        <v>0.42855492992567523</v>
      </c>
      <c r="S28" s="307">
        <f t="shared" ca="1" si="21"/>
        <v>6.5905589951703965</v>
      </c>
      <c r="T28" s="304">
        <f t="shared" ca="1" si="1"/>
        <v>64.653383742621585</v>
      </c>
      <c r="U28" s="311">
        <f t="shared" ca="1" si="2"/>
        <v>0</v>
      </c>
      <c r="V28" s="306">
        <f t="shared" ca="1" si="3"/>
        <v>1.1779915689717659</v>
      </c>
      <c r="W28" s="304">
        <f t="shared" ca="1" si="4"/>
        <v>45.38186860423103</v>
      </c>
      <c r="Y28" s="314" t="str">
        <f t="shared" ca="1" si="22"/>
        <v/>
      </c>
      <c r="Z28" s="315" t="str">
        <f t="shared" ca="1" si="23"/>
        <v/>
      </c>
      <c r="AA28" s="316" t="str">
        <f t="shared" ca="1" si="24"/>
        <v/>
      </c>
      <c r="AC28" s="310" t="e">
        <f t="shared" ca="1" si="25"/>
        <v>#N/A</v>
      </c>
      <c r="AD28" s="323" t="e">
        <f t="shared" ca="1" si="26"/>
        <v>#N/A</v>
      </c>
      <c r="AE28" s="324">
        <f t="shared" ca="1" si="5"/>
        <v>391.24923811820821</v>
      </c>
      <c r="AG28" s="306">
        <f t="shared" ca="1" si="27"/>
        <v>113.06868803359163</v>
      </c>
      <c r="AH28" s="304">
        <f t="shared" ca="1" si="28"/>
        <v>122.78565155624834</v>
      </c>
    </row>
    <row r="29" spans="1:34" x14ac:dyDescent="0.2">
      <c r="A29" s="347">
        <f t="shared" ca="1" si="6"/>
        <v>0.01</v>
      </c>
      <c r="B29" s="304">
        <f t="shared" ca="1" si="7"/>
        <v>4.2499999999999947</v>
      </c>
      <c r="D29" s="306">
        <f t="shared" ca="1" si="8"/>
        <v>16.834076636305092</v>
      </c>
      <c r="E29" s="307">
        <f t="shared" ca="1" si="9"/>
        <v>111.47134915379392</v>
      </c>
      <c r="F29" s="304">
        <f t="shared" ca="1" si="10"/>
        <v>112.73529978832728</v>
      </c>
      <c r="G29" s="306">
        <f t="shared" ca="1" si="11"/>
        <v>21.141535298847945</v>
      </c>
      <c r="H29" s="307">
        <f t="shared" ca="1" si="12"/>
        <v>152.21639752919879</v>
      </c>
      <c r="I29" s="304">
        <f t="shared" ca="1" si="13"/>
        <v>153.67757218136779</v>
      </c>
      <c r="J29" s="306">
        <f t="shared" ca="1" si="14"/>
        <v>48.088637244041927</v>
      </c>
      <c r="K29" s="307">
        <f t="shared" ca="1" si="15"/>
        <v>392.76582852604253</v>
      </c>
      <c r="L29" s="304">
        <f t="shared" ca="1" si="0"/>
        <v>395.69876559036385</v>
      </c>
      <c r="M29" s="306">
        <f t="shared" ca="1" si="16"/>
        <v>1.4327879249944504</v>
      </c>
      <c r="N29" s="304">
        <f t="shared" ca="1" si="17"/>
        <v>82.092701039488759</v>
      </c>
      <c r="P29" s="310">
        <f t="shared" ca="1" si="18"/>
        <v>2</v>
      </c>
      <c r="Q29" s="304">
        <f t="shared" ca="1" si="19"/>
        <v>851.83333333333439</v>
      </c>
      <c r="R29" s="306">
        <f t="shared" ca="1" si="20"/>
        <v>0.42749546161930768</v>
      </c>
      <c r="S29" s="307">
        <f t="shared" ca="1" si="21"/>
        <v>6.5862840405542036</v>
      </c>
      <c r="T29" s="304">
        <f t="shared" ca="1" si="1"/>
        <v>64.611446437836747</v>
      </c>
      <c r="U29" s="311">
        <f t="shared" ca="1" si="2"/>
        <v>0</v>
      </c>
      <c r="V29" s="306">
        <f t="shared" ca="1" si="3"/>
        <v>1.1778128607968055</v>
      </c>
      <c r="W29" s="304">
        <f t="shared" ca="1" si="4"/>
        <v>46.048059967867104</v>
      </c>
      <c r="Y29" s="314" t="str">
        <f t="shared" ca="1" si="22"/>
        <v/>
      </c>
      <c r="Z29" s="315" t="str">
        <f t="shared" ca="1" si="23"/>
        <v/>
      </c>
      <c r="AA29" s="316" t="str">
        <f t="shared" ca="1" si="24"/>
        <v/>
      </c>
      <c r="AC29" s="310" t="e">
        <f t="shared" ca="1" si="25"/>
        <v>#N/A</v>
      </c>
      <c r="AD29" s="323" t="e">
        <f t="shared" ca="1" si="26"/>
        <v>#N/A</v>
      </c>
      <c r="AE29" s="324">
        <f t="shared" ca="1" si="5"/>
        <v>392.76582852604253</v>
      </c>
      <c r="AG29" s="306">
        <f t="shared" ca="1" si="27"/>
        <v>112.72723177368213</v>
      </c>
      <c r="AH29" s="304">
        <f t="shared" ca="1" si="28"/>
        <v>122.44407616851647</v>
      </c>
    </row>
    <row r="30" spans="1:34" x14ac:dyDescent="0.2">
      <c r="A30" s="347">
        <f t="shared" ca="1" si="6"/>
        <v>0.01</v>
      </c>
      <c r="B30" s="304">
        <f t="shared" ca="1" si="7"/>
        <v>4.2599999999999945</v>
      </c>
      <c r="D30" s="306">
        <f t="shared" ca="1" si="8"/>
        <v>16.797585540871243</v>
      </c>
      <c r="E30" s="307">
        <f t="shared" ca="1" si="9"/>
        <v>111.13050512780454</v>
      </c>
      <c r="F30" s="304">
        <f t="shared" ca="1" si="10"/>
        <v>112.39282917501399</v>
      </c>
      <c r="G30" s="306">
        <f t="shared" ca="1" si="11"/>
        <v>21.309511154256658</v>
      </c>
      <c r="H30" s="307">
        <f t="shared" ca="1" si="12"/>
        <v>153.32770258047682</v>
      </c>
      <c r="I30" s="304">
        <f t="shared" ca="1" si="13"/>
        <v>154.80142003302345</v>
      </c>
      <c r="J30" s="306">
        <f t="shared" ca="1" si="14"/>
        <v>48.300892476307446</v>
      </c>
      <c r="K30" s="307">
        <f t="shared" ca="1" si="15"/>
        <v>394.29354902659088</v>
      </c>
      <c r="L30" s="304">
        <f t="shared" ca="1" si="0"/>
        <v>397.24095838419333</v>
      </c>
      <c r="M30" s="306">
        <f t="shared" ca="1" si="16"/>
        <v>1.432700744345113</v>
      </c>
      <c r="N30" s="304">
        <f t="shared" ca="1" si="17"/>
        <v>82.087705956226515</v>
      </c>
      <c r="P30" s="310">
        <f t="shared" ca="1" si="18"/>
        <v>2</v>
      </c>
      <c r="Q30" s="304">
        <f t="shared" ca="1" si="19"/>
        <v>849.72222222222331</v>
      </c>
      <c r="R30" s="306">
        <f t="shared" ca="1" si="20"/>
        <v>0.42643599331294013</v>
      </c>
      <c r="S30" s="307">
        <f t="shared" ca="1" si="21"/>
        <v>6.582019680621074</v>
      </c>
      <c r="T30" s="304">
        <f t="shared" ca="1" si="1"/>
        <v>64.569613066892742</v>
      </c>
      <c r="U30" s="311">
        <f t="shared" ca="1" si="2"/>
        <v>0</v>
      </c>
      <c r="V30" s="306">
        <f t="shared" ca="1" si="3"/>
        <v>1.1776328679739312</v>
      </c>
      <c r="W30" s="304">
        <f t="shared" ca="1" si="4"/>
        <v>46.716883471395882</v>
      </c>
      <c r="Y30" s="314" t="str">
        <f t="shared" ca="1" si="22"/>
        <v/>
      </c>
      <c r="Z30" s="315" t="str">
        <f t="shared" ca="1" si="23"/>
        <v/>
      </c>
      <c r="AA30" s="316" t="str">
        <f t="shared" ca="1" si="24"/>
        <v/>
      </c>
      <c r="AC30" s="310" t="e">
        <f t="shared" ca="1" si="25"/>
        <v>#N/A</v>
      </c>
      <c r="AD30" s="323" t="e">
        <f t="shared" ca="1" si="26"/>
        <v>#N/A</v>
      </c>
      <c r="AE30" s="324">
        <f t="shared" ca="1" si="5"/>
        <v>394.29354902659088</v>
      </c>
      <c r="AG30" s="306">
        <f t="shared" ca="1" si="27"/>
        <v>112.38472633742116</v>
      </c>
      <c r="AH30" s="304">
        <f t="shared" ca="1" si="28"/>
        <v>122.10145232785482</v>
      </c>
    </row>
    <row r="31" spans="1:34" x14ac:dyDescent="0.2">
      <c r="A31" s="347">
        <f t="shared" ca="1" si="6"/>
        <v>0.01</v>
      </c>
      <c r="B31" s="304">
        <f t="shared" ca="1" si="7"/>
        <v>4.2699999999999942</v>
      </c>
      <c r="D31" s="306">
        <f t="shared" ca="1" si="8"/>
        <v>16.760821317464643</v>
      </c>
      <c r="E31" s="307">
        <f t="shared" ca="1" si="9"/>
        <v>110.78864758818675</v>
      </c>
      <c r="F31" s="304">
        <f t="shared" ca="1" si="10"/>
        <v>112.04931755997184</v>
      </c>
      <c r="G31" s="306">
        <f t="shared" ca="1" si="11"/>
        <v>21.477119367431303</v>
      </c>
      <c r="H31" s="307">
        <f t="shared" ca="1" si="12"/>
        <v>154.43558905635868</v>
      </c>
      <c r="I31" s="304">
        <f t="shared" ca="1" si="13"/>
        <v>155.92183241453836</v>
      </c>
      <c r="J31" s="306">
        <f t="shared" ca="1" si="14"/>
        <v>48.514825628915887</v>
      </c>
      <c r="K31" s="307">
        <f t="shared" ca="1" si="15"/>
        <v>395.83236548477504</v>
      </c>
      <c r="L31" s="304">
        <f t="shared" ca="1" si="0"/>
        <v>398.79437041046185</v>
      </c>
      <c r="M31" s="306">
        <f t="shared" ca="1" si="16"/>
        <v>1.4326141358236444</v>
      </c>
      <c r="N31" s="304">
        <f t="shared" ca="1" si="17"/>
        <v>82.082743653476498</v>
      </c>
      <c r="P31" s="310">
        <f t="shared" ca="1" si="18"/>
        <v>2</v>
      </c>
      <c r="Q31" s="304">
        <f t="shared" ca="1" si="19"/>
        <v>847.61111111111234</v>
      </c>
      <c r="R31" s="306">
        <f t="shared" ca="1" si="20"/>
        <v>0.42537652500657264</v>
      </c>
      <c r="S31" s="307">
        <f t="shared" ca="1" si="21"/>
        <v>6.5777659153710086</v>
      </c>
      <c r="T31" s="304">
        <f t="shared" ca="1" si="1"/>
        <v>64.527883629789599</v>
      </c>
      <c r="U31" s="311">
        <f t="shared" ca="1" si="2"/>
        <v>0</v>
      </c>
      <c r="V31" s="306">
        <f t="shared" ca="1" si="3"/>
        <v>1.1774515951073006</v>
      </c>
      <c r="W31" s="304">
        <f t="shared" ca="1" si="4"/>
        <v>47.388284417562545</v>
      </c>
      <c r="Y31" s="314" t="str">
        <f t="shared" ca="1" si="22"/>
        <v/>
      </c>
      <c r="Z31" s="315" t="str">
        <f t="shared" ca="1" si="23"/>
        <v/>
      </c>
      <c r="AA31" s="316" t="str">
        <f t="shared" ca="1" si="24"/>
        <v/>
      </c>
      <c r="AC31" s="310" t="e">
        <f t="shared" ca="1" si="25"/>
        <v>#N/A</v>
      </c>
      <c r="AD31" s="323" t="e">
        <f t="shared" ca="1" si="26"/>
        <v>#N/A</v>
      </c>
      <c r="AE31" s="324">
        <f t="shared" ca="1" si="5"/>
        <v>395.83236548477504</v>
      </c>
      <c r="AG31" s="306">
        <f t="shared" ca="1" si="27"/>
        <v>112.04117967273032</v>
      </c>
      <c r="AH31" s="304">
        <f t="shared" ca="1" si="28"/>
        <v>121.75778796995138</v>
      </c>
    </row>
    <row r="32" spans="1:34" x14ac:dyDescent="0.2">
      <c r="A32" s="347">
        <f t="shared" ca="1" si="6"/>
        <v>0.01</v>
      </c>
      <c r="B32" s="304">
        <f t="shared" ca="1" si="7"/>
        <v>4.279999999999994</v>
      </c>
      <c r="D32" s="306">
        <f t="shared" ca="1" si="8"/>
        <v>16.723786586055645</v>
      </c>
      <c r="E32" s="307">
        <f t="shared" ca="1" si="9"/>
        <v>110.44578423645162</v>
      </c>
      <c r="F32" s="304">
        <f t="shared" ca="1" si="10"/>
        <v>111.70477292121747</v>
      </c>
      <c r="G32" s="306">
        <f t="shared" ca="1" si="11"/>
        <v>21.64435723329186</v>
      </c>
      <c r="H32" s="307">
        <f t="shared" ca="1" si="12"/>
        <v>155.5400468987232</v>
      </c>
      <c r="I32" s="304">
        <f t="shared" ca="1" si="13"/>
        <v>157.03879899343144</v>
      </c>
      <c r="J32" s="306">
        <f t="shared" ca="1" si="14"/>
        <v>48.730433011919501</v>
      </c>
      <c r="K32" s="307">
        <f t="shared" ca="1" si="15"/>
        <v>397.38224366455046</v>
      </c>
      <c r="L32" s="304">
        <f t="shared" ca="1" si="0"/>
        <v>400.35896727986665</v>
      </c>
      <c r="M32" s="306">
        <f t="shared" ca="1" si="16"/>
        <v>1.4325280897330179</v>
      </c>
      <c r="N32" s="304">
        <f t="shared" ca="1" si="17"/>
        <v>82.077813575640008</v>
      </c>
      <c r="P32" s="310">
        <f t="shared" ca="1" si="18"/>
        <v>2</v>
      </c>
      <c r="Q32" s="304">
        <f t="shared" ca="1" si="19"/>
        <v>845.50000000000125</v>
      </c>
      <c r="R32" s="306">
        <f t="shared" ca="1" si="20"/>
        <v>0.42431705670020514</v>
      </c>
      <c r="S32" s="307">
        <f t="shared" ca="1" si="21"/>
        <v>6.5735227448040066</v>
      </c>
      <c r="T32" s="304">
        <f t="shared" ca="1" si="1"/>
        <v>64.486258126527304</v>
      </c>
      <c r="U32" s="311">
        <f t="shared" ca="1" si="2"/>
        <v>0</v>
      </c>
      <c r="V32" s="306">
        <f t="shared" ca="1" si="3"/>
        <v>1.177269046814547</v>
      </c>
      <c r="W32" s="304">
        <f t="shared" ca="1" si="4"/>
        <v>48.062208137923704</v>
      </c>
      <c r="Y32" s="314" t="str">
        <f t="shared" ca="1" si="22"/>
        <v/>
      </c>
      <c r="Z32" s="315" t="str">
        <f t="shared" ca="1" si="23"/>
        <v/>
      </c>
      <c r="AA32" s="316" t="str">
        <f t="shared" ca="1" si="24"/>
        <v/>
      </c>
      <c r="AC32" s="310" t="e">
        <f t="shared" ca="1" si="25"/>
        <v>#N/A</v>
      </c>
      <c r="AD32" s="323" t="e">
        <f t="shared" ca="1" si="26"/>
        <v>#N/A</v>
      </c>
      <c r="AE32" s="324">
        <f t="shared" ca="1" si="5"/>
        <v>397.38224366455046</v>
      </c>
      <c r="AG32" s="306">
        <f t="shared" ca="1" si="27"/>
        <v>111.69659975409689</v>
      </c>
      <c r="AH32" s="304">
        <f t="shared" ca="1" si="28"/>
        <v>121.41309105734825</v>
      </c>
    </row>
    <row r="33" spans="1:34" x14ac:dyDescent="0.2">
      <c r="A33" s="347">
        <f t="shared" ca="1" si="6"/>
        <v>0.01</v>
      </c>
      <c r="B33" s="304">
        <f t="shared" ca="1" si="7"/>
        <v>4.2899999999999938</v>
      </c>
      <c r="D33" s="306">
        <f t="shared" ca="1" si="8"/>
        <v>16.686483934253339</v>
      </c>
      <c r="E33" s="307">
        <f t="shared" ca="1" si="9"/>
        <v>110.10192280436318</v>
      </c>
      <c r="F33" s="304">
        <f t="shared" ca="1" si="10"/>
        <v>111.35920326271217</v>
      </c>
      <c r="G33" s="306">
        <f t="shared" ca="1" si="11"/>
        <v>21.811222072634393</v>
      </c>
      <c r="H33" s="307">
        <f t="shared" ca="1" si="12"/>
        <v>156.64106612676684</v>
      </c>
      <c r="I33" s="304">
        <f t="shared" ca="1" si="13"/>
        <v>158.1523095172243</v>
      </c>
      <c r="J33" s="306">
        <f t="shared" ca="1" si="14"/>
        <v>48.947710908449132</v>
      </c>
      <c r="K33" s="307">
        <f t="shared" ca="1" si="15"/>
        <v>398.94314922967789</v>
      </c>
      <c r="L33" s="304">
        <f t="shared" ca="1" si="0"/>
        <v>401.93471450034042</v>
      </c>
      <c r="M33" s="306">
        <f t="shared" ca="1" si="16"/>
        <v>1.4324425966069172</v>
      </c>
      <c r="N33" s="304">
        <f t="shared" ca="1" si="17"/>
        <v>82.072915180337048</v>
      </c>
      <c r="P33" s="310">
        <f t="shared" ca="1" si="18"/>
        <v>2</v>
      </c>
      <c r="Q33" s="304">
        <f t="shared" ca="1" si="19"/>
        <v>843.38888888889016</v>
      </c>
      <c r="R33" s="306">
        <f t="shared" ca="1" si="20"/>
        <v>0.42325758839383759</v>
      </c>
      <c r="S33" s="307">
        <f t="shared" ca="1" si="21"/>
        <v>6.5692901689200678</v>
      </c>
      <c r="T33" s="304">
        <f t="shared" ca="1" si="1"/>
        <v>64.44473655710587</v>
      </c>
      <c r="U33" s="311">
        <f t="shared" ca="1" si="2"/>
        <v>0</v>
      </c>
      <c r="V33" s="306">
        <f t="shared" ca="1" si="3"/>
        <v>1.1770852277266326</v>
      </c>
      <c r="W33" s="304">
        <f t="shared" ca="1" si="4"/>
        <v>48.73859999682999</v>
      </c>
      <c r="Y33" s="314" t="str">
        <f t="shared" ca="1" si="22"/>
        <v/>
      </c>
      <c r="Z33" s="315" t="str">
        <f t="shared" ca="1" si="23"/>
        <v/>
      </c>
      <c r="AA33" s="316" t="str">
        <f t="shared" ca="1" si="24"/>
        <v/>
      </c>
      <c r="AC33" s="310" t="e">
        <f t="shared" ca="1" si="25"/>
        <v>#N/A</v>
      </c>
      <c r="AD33" s="323" t="e">
        <f t="shared" ca="1" si="26"/>
        <v>#N/A</v>
      </c>
      <c r="AE33" s="324">
        <f t="shared" ca="1" si="5"/>
        <v>398.94314922967789</v>
      </c>
      <c r="AG33" s="306">
        <f t="shared" ca="1" si="27"/>
        <v>111.35099458193278</v>
      </c>
      <c r="AH33" s="304">
        <f t="shared" ca="1" si="28"/>
        <v>121.06736957879134</v>
      </c>
    </row>
    <row r="34" spans="1:34" x14ac:dyDescent="0.2">
      <c r="A34" s="347">
        <f t="shared" ca="1" si="6"/>
        <v>0.01</v>
      </c>
      <c r="B34" s="304">
        <f t="shared" ca="1" si="7"/>
        <v>4.2999999999999936</v>
      </c>
      <c r="D34" s="306">
        <f t="shared" ca="1" si="8"/>
        <v>16.648915918410747</v>
      </c>
      <c r="E34" s="307">
        <f t="shared" ca="1" si="9"/>
        <v>109.7570710531523</v>
      </c>
      <c r="F34" s="304">
        <f t="shared" ca="1" si="10"/>
        <v>111.01261661372114</v>
      </c>
      <c r="G34" s="306">
        <f t="shared" ca="1" si="11"/>
        <v>21.9777112318185</v>
      </c>
      <c r="H34" s="307">
        <f t="shared" ca="1" si="12"/>
        <v>157.73863683729837</v>
      </c>
      <c r="I34" s="304">
        <f t="shared" ca="1" si="13"/>
        <v>159.26235381369418</v>
      </c>
      <c r="J34" s="306">
        <f t="shared" ca="1" si="14"/>
        <v>49.166655574971394</v>
      </c>
      <c r="K34" s="307">
        <f t="shared" ca="1" si="15"/>
        <v>400.51504774449819</v>
      </c>
      <c r="L34" s="304">
        <f t="shared" ca="1" si="0"/>
        <v>403.52157747784139</v>
      </c>
      <c r="M34" s="306">
        <f t="shared" ca="1" si="16"/>
        <v>1.4323576472023665</v>
      </c>
      <c r="N34" s="304">
        <f t="shared" ca="1" si="17"/>
        <v>82.068047937984147</v>
      </c>
      <c r="P34" s="310">
        <f t="shared" ca="1" si="18"/>
        <v>2</v>
      </c>
      <c r="Q34" s="304">
        <f t="shared" ca="1" si="19"/>
        <v>841.27777777777908</v>
      </c>
      <c r="R34" s="306">
        <f t="shared" ca="1" si="20"/>
        <v>0.42219812008747004</v>
      </c>
      <c r="S34" s="307">
        <f t="shared" ca="1" si="21"/>
        <v>6.5650681877191932</v>
      </c>
      <c r="T34" s="304">
        <f t="shared" ca="1" si="1"/>
        <v>64.403318921525283</v>
      </c>
      <c r="U34" s="311">
        <f t="shared" ca="1" si="2"/>
        <v>0</v>
      </c>
      <c r="V34" s="306">
        <f t="shared" ca="1" si="3"/>
        <v>1.176900142487701</v>
      </c>
      <c r="W34" s="304">
        <f t="shared" ca="1" si="4"/>
        <v>49.417405395392464</v>
      </c>
      <c r="Y34" s="314" t="str">
        <f t="shared" ca="1" si="22"/>
        <v/>
      </c>
      <c r="Z34" s="315" t="str">
        <f t="shared" ca="1" si="23"/>
        <v/>
      </c>
      <c r="AA34" s="316" t="str">
        <f t="shared" ca="1" si="24"/>
        <v/>
      </c>
      <c r="AC34" s="310" t="e">
        <f t="shared" ca="1" si="25"/>
        <v>#N/A</v>
      </c>
      <c r="AD34" s="323" t="e">
        <f t="shared" ca="1" si="26"/>
        <v>#N/A</v>
      </c>
      <c r="AE34" s="324">
        <f t="shared" ca="1" si="5"/>
        <v>400.51504774449819</v>
      </c>
      <c r="AG34" s="306">
        <f t="shared" ca="1" si="27"/>
        <v>111.0043721819325</v>
      </c>
      <c r="AH34" s="304">
        <f t="shared" ca="1" si="28"/>
        <v>120.72063154857948</v>
      </c>
    </row>
    <row r="35" spans="1:34" x14ac:dyDescent="0.2">
      <c r="A35" s="347">
        <f t="shared" ca="1" si="6"/>
        <v>0.01</v>
      </c>
      <c r="B35" s="304">
        <f t="shared" ca="1" si="7"/>
        <v>4.3099999999999934</v>
      </c>
      <c r="D35" s="306">
        <f t="shared" ca="1" si="8"/>
        <v>16.611085064682584</v>
      </c>
      <c r="E35" s="307">
        <f t="shared" ca="1" si="9"/>
        <v>109.41123677273529</v>
      </c>
      <c r="F35" s="304">
        <f t="shared" ca="1" si="10"/>
        <v>110.66502102817161</v>
      </c>
      <c r="G35" s="306">
        <f t="shared" ca="1" si="11"/>
        <v>22.143822082465327</v>
      </c>
      <c r="H35" s="307">
        <f t="shared" ca="1" si="12"/>
        <v>158.83274920502572</v>
      </c>
      <c r="I35" s="304">
        <f t="shared" ca="1" si="13"/>
        <v>160.36892179112036</v>
      </c>
      <c r="J35" s="306">
        <f t="shared" ca="1" si="14"/>
        <v>49.387263241542811</v>
      </c>
      <c r="K35" s="307">
        <f t="shared" ca="1" si="15"/>
        <v>402.09790467470981</v>
      </c>
      <c r="L35" s="304">
        <f t="shared" ca="1" si="0"/>
        <v>405.11952151714615</v>
      </c>
      <c r="M35" s="306">
        <f t="shared" ca="1" si="16"/>
        <v>1.4322732324926579</v>
      </c>
      <c r="N35" s="304">
        <f t="shared" ca="1" si="17"/>
        <v>82.063211331389027</v>
      </c>
      <c r="P35" s="310">
        <f t="shared" ca="1" si="18"/>
        <v>2</v>
      </c>
      <c r="Q35" s="304">
        <f t="shared" ca="1" si="19"/>
        <v>839.16666666666799</v>
      </c>
      <c r="R35" s="306">
        <f t="shared" ca="1" si="20"/>
        <v>0.42113865178110249</v>
      </c>
      <c r="S35" s="307">
        <f t="shared" ca="1" si="21"/>
        <v>6.5608568012013819</v>
      </c>
      <c r="T35" s="304">
        <f t="shared" ca="1" si="1"/>
        <v>64.362005219785559</v>
      </c>
      <c r="U35" s="311">
        <f t="shared" ca="1" si="2"/>
        <v>0</v>
      </c>
      <c r="V35" s="306">
        <f t="shared" ca="1" si="3"/>
        <v>1.1767137957549301</v>
      </c>
      <c r="W35" s="304">
        <f t="shared" ca="1" si="4"/>
        <v>50.098569775431919</v>
      </c>
      <c r="Y35" s="314" t="str">
        <f t="shared" ca="1" si="22"/>
        <v/>
      </c>
      <c r="Z35" s="315" t="str">
        <f t="shared" ca="1" si="23"/>
        <v/>
      </c>
      <c r="AA35" s="316" t="str">
        <f t="shared" ca="1" si="24"/>
        <v/>
      </c>
      <c r="AC35" s="310" t="e">
        <f t="shared" ca="1" si="25"/>
        <v>#N/A</v>
      </c>
      <c r="AD35" s="323" t="e">
        <f t="shared" ca="1" si="26"/>
        <v>#N/A</v>
      </c>
      <c r="AE35" s="324">
        <f t="shared" ca="1" si="5"/>
        <v>402.09790467470981</v>
      </c>
      <c r="AG35" s="306">
        <f t="shared" ca="1" si="27"/>
        <v>110.6567406044301</v>
      </c>
      <c r="AH35" s="304">
        <f t="shared" ca="1" si="28"/>
        <v>120.37288500591289</v>
      </c>
    </row>
    <row r="36" spans="1:34" x14ac:dyDescent="0.2">
      <c r="A36" s="347">
        <f t="shared" ca="1" si="6"/>
        <v>0.01</v>
      </c>
      <c r="B36" s="304">
        <f t="shared" ca="1" si="7"/>
        <v>4.3199999999999932</v>
      </c>
      <c r="D36" s="306">
        <f t="shared" ca="1" si="8"/>
        <v>16.572993870036626</v>
      </c>
      <c r="E36" s="307">
        <f t="shared" ca="1" si="9"/>
        <v>109.06442778093762</v>
      </c>
      <c r="F36" s="304">
        <f t="shared" ca="1" si="10"/>
        <v>110.31642458401029</v>
      </c>
      <c r="G36" s="306">
        <f t="shared" ca="1" si="11"/>
        <v>22.309552021165693</v>
      </c>
      <c r="H36" s="307">
        <f t="shared" ca="1" si="12"/>
        <v>159.92339348283511</v>
      </c>
      <c r="I36" s="304">
        <f t="shared" ca="1" si="13"/>
        <v>161.4720034385243</v>
      </c>
      <c r="J36" s="306">
        <f t="shared" ca="1" si="14"/>
        <v>49.609530112060966</v>
      </c>
      <c r="K36" s="307">
        <f t="shared" ca="1" si="15"/>
        <v>403.6916853881491</v>
      </c>
      <c r="L36" s="304">
        <f t="shared" ca="1" si="0"/>
        <v>406.72851182264543</v>
      </c>
      <c r="M36" s="306">
        <f t="shared" ca="1" si="16"/>
        <v>1.4321893436605539</v>
      </c>
      <c r="N36" s="304">
        <f t="shared" ca="1" si="17"/>
        <v>82.058404855361189</v>
      </c>
      <c r="P36" s="310">
        <f t="shared" ca="1" si="18"/>
        <v>2</v>
      </c>
      <c r="Q36" s="304">
        <f t="shared" ca="1" si="19"/>
        <v>837.05555555555702</v>
      </c>
      <c r="R36" s="306">
        <f t="shared" ca="1" si="20"/>
        <v>0.420079183474735</v>
      </c>
      <c r="S36" s="307">
        <f t="shared" ca="1" si="21"/>
        <v>6.5566560093666348</v>
      </c>
      <c r="T36" s="304">
        <f t="shared" ca="1" si="1"/>
        <v>64.320795451886696</v>
      </c>
      <c r="U36" s="311">
        <f t="shared" ca="1" si="2"/>
        <v>0</v>
      </c>
      <c r="V36" s="306">
        <f t="shared" ca="1" si="3"/>
        <v>1.1765261921983827</v>
      </c>
      <c r="W36" s="304">
        <f t="shared" ca="1" si="4"/>
        <v>50.782038623410955</v>
      </c>
      <c r="Y36" s="314" t="str">
        <f t="shared" ca="1" si="22"/>
        <v/>
      </c>
      <c r="Z36" s="315" t="str">
        <f t="shared" ca="1" si="23"/>
        <v/>
      </c>
      <c r="AA36" s="316" t="str">
        <f t="shared" ca="1" si="24"/>
        <v/>
      </c>
      <c r="AC36" s="310" t="e">
        <f t="shared" ca="1" si="25"/>
        <v>#N/A</v>
      </c>
      <c r="AD36" s="323" t="e">
        <f t="shared" ca="1" si="26"/>
        <v>#N/A</v>
      </c>
      <c r="AE36" s="324">
        <f t="shared" ca="1" si="5"/>
        <v>403.6916853881491</v>
      </c>
      <c r="AG36" s="306">
        <f t="shared" ca="1" si="27"/>
        <v>110.30810792375534</v>
      </c>
      <c r="AH36" s="304">
        <f t="shared" ca="1" si="28"/>
        <v>120.02413801424123</v>
      </c>
    </row>
    <row r="37" spans="1:34" x14ac:dyDescent="0.2">
      <c r="A37" s="347">
        <f t="shared" ca="1" si="6"/>
        <v>0.01</v>
      </c>
      <c r="B37" s="304">
        <f t="shared" ca="1" si="7"/>
        <v>4.329999999999993</v>
      </c>
      <c r="D37" s="306">
        <f t="shared" ca="1" si="8"/>
        <v>16.534644803221873</v>
      </c>
      <c r="E37" s="307">
        <f t="shared" ca="1" si="9"/>
        <v>108.71665192272197</v>
      </c>
      <c r="F37" s="304">
        <f t="shared" ca="1" si="10"/>
        <v>109.96683538255976</v>
      </c>
      <c r="G37" s="306">
        <f t="shared" ca="1" si="11"/>
        <v>22.47489846919791</v>
      </c>
      <c r="H37" s="307">
        <f t="shared" ca="1" si="12"/>
        <v>161.01056000206233</v>
      </c>
      <c r="I37" s="304">
        <f t="shared" ca="1" si="13"/>
        <v>162.57158882590301</v>
      </c>
      <c r="J37" s="306">
        <f t="shared" ca="1" si="14"/>
        <v>49.833452364512787</v>
      </c>
      <c r="K37" s="307">
        <f t="shared" ca="1" si="15"/>
        <v>405.29635515557356</v>
      </c>
      <c r="L37" s="304">
        <f t="shared" ca="1" si="0"/>
        <v>408.34851349914203</v>
      </c>
      <c r="M37" s="306">
        <f t="shared" ca="1" si="16"/>
        <v>1.4321059720917571</v>
      </c>
      <c r="N37" s="304">
        <f t="shared" ca="1" si="17"/>
        <v>82.05362801633774</v>
      </c>
      <c r="P37" s="310">
        <f t="shared" ca="1" si="18"/>
        <v>2</v>
      </c>
      <c r="Q37" s="304">
        <f t="shared" ca="1" si="19"/>
        <v>834.94444444444594</v>
      </c>
      <c r="R37" s="306">
        <f t="shared" ca="1" si="20"/>
        <v>0.4190197151683675</v>
      </c>
      <c r="S37" s="307">
        <f t="shared" ca="1" si="21"/>
        <v>6.5524658122149511</v>
      </c>
      <c r="T37" s="304">
        <f t="shared" ca="1" si="1"/>
        <v>64.27968961782868</v>
      </c>
      <c r="U37" s="311">
        <f t="shared" ca="1" si="2"/>
        <v>0</v>
      </c>
      <c r="V37" s="306">
        <f t="shared" ca="1" si="3"/>
        <v>1.1763373365008605</v>
      </c>
      <c r="W37" s="304">
        <f t="shared" ca="1" si="4"/>
        <v>51.467757474348019</v>
      </c>
      <c r="Y37" s="314" t="str">
        <f t="shared" ca="1" si="22"/>
        <v/>
      </c>
      <c r="Z37" s="315" t="str">
        <f t="shared" ca="1" si="23"/>
        <v/>
      </c>
      <c r="AA37" s="316" t="str">
        <f t="shared" ca="1" si="24"/>
        <v/>
      </c>
      <c r="AC37" s="310" t="e">
        <f t="shared" ca="1" si="25"/>
        <v>#N/A</v>
      </c>
      <c r="AD37" s="323" t="e">
        <f t="shared" ca="1" si="26"/>
        <v>#N/A</v>
      </c>
      <c r="AE37" s="324">
        <f t="shared" ca="1" si="5"/>
        <v>405.29635515557356</v>
      </c>
      <c r="AG37" s="306">
        <f t="shared" ca="1" si="27"/>
        <v>109.95848223758887</v>
      </c>
      <c r="AH37" s="304">
        <f t="shared" ca="1" si="28"/>
        <v>119.67439866061081</v>
      </c>
    </row>
    <row r="38" spans="1:34" x14ac:dyDescent="0.2">
      <c r="A38" s="347">
        <f t="shared" ca="1" si="6"/>
        <v>0.01</v>
      </c>
      <c r="B38" s="304">
        <f t="shared" ca="1" si="7"/>
        <v>4.3399999999999928</v>
      </c>
      <c r="D38" s="306">
        <f t="shared" ca="1" si="8"/>
        <v>16.496040305694908</v>
      </c>
      <c r="E38" s="307">
        <f t="shared" ca="1" si="9"/>
        <v>108.36791706942107</v>
      </c>
      <c r="F38" s="304">
        <f t="shared" ca="1" si="10"/>
        <v>109.61626154787452</v>
      </c>
      <c r="G38" s="306">
        <f t="shared" ca="1" si="11"/>
        <v>22.639858872254859</v>
      </c>
      <c r="H38" s="307">
        <f t="shared" ca="1" si="12"/>
        <v>162.09423917275655</v>
      </c>
      <c r="I38" s="304">
        <f t="shared" ca="1" si="13"/>
        <v>163.66766810445617</v>
      </c>
      <c r="J38" s="306">
        <f t="shared" ca="1" si="14"/>
        <v>50.059026151220053</v>
      </c>
      <c r="K38" s="307">
        <f t="shared" ca="1" si="15"/>
        <v>406.91187915144764</v>
      </c>
      <c r="L38" s="304">
        <f t="shared" ca="1" si="0"/>
        <v>409.97949155265178</v>
      </c>
      <c r="M38" s="306">
        <f t="shared" ca="1" si="16"/>
        <v>1.4320231093686306</v>
      </c>
      <c r="N38" s="304">
        <f t="shared" ca="1" si="17"/>
        <v>82.048880332023629</v>
      </c>
      <c r="P38" s="310">
        <f t="shared" ca="1" si="18"/>
        <v>2</v>
      </c>
      <c r="Q38" s="304">
        <f t="shared" ca="1" si="19"/>
        <v>832.83333333333485</v>
      </c>
      <c r="R38" s="306">
        <f t="shared" ca="1" si="20"/>
        <v>0.41796024686199995</v>
      </c>
      <c r="S38" s="307">
        <f t="shared" ca="1" si="21"/>
        <v>6.5482862097463315</v>
      </c>
      <c r="T38" s="304">
        <f t="shared" ca="1" si="1"/>
        <v>64.238687717611512</v>
      </c>
      <c r="U38" s="311">
        <f t="shared" ca="1" si="2"/>
        <v>0</v>
      </c>
      <c r="V38" s="306">
        <f t="shared" ca="1" si="3"/>
        <v>1.1761472333577547</v>
      </c>
      <c r="W38" s="304">
        <f t="shared" ca="1" si="4"/>
        <v>52.155671915713285</v>
      </c>
      <c r="Y38" s="314" t="str">
        <f t="shared" ca="1" si="22"/>
        <v/>
      </c>
      <c r="Z38" s="315" t="str">
        <f t="shared" ca="1" si="23"/>
        <v/>
      </c>
      <c r="AA38" s="316" t="str">
        <f t="shared" ca="1" si="24"/>
        <v/>
      </c>
      <c r="AC38" s="310" t="e">
        <f t="shared" ca="1" si="25"/>
        <v>#N/A</v>
      </c>
      <c r="AD38" s="323" t="e">
        <f t="shared" ca="1" si="26"/>
        <v>#N/A</v>
      </c>
      <c r="AE38" s="324">
        <f t="shared" ca="1" si="5"/>
        <v>406.91187915144764</v>
      </c>
      <c r="AG38" s="306">
        <f t="shared" ca="1" si="27"/>
        <v>109.60787166631697</v>
      </c>
      <c r="AH38" s="304">
        <f t="shared" ca="1" si="28"/>
        <v>119.32367505501192</v>
      </c>
    </row>
    <row r="39" spans="1:34" x14ac:dyDescent="0.2">
      <c r="A39" s="347">
        <f t="shared" ca="1" si="6"/>
        <v>0.01</v>
      </c>
      <c r="B39" s="304">
        <f t="shared" ca="1" si="7"/>
        <v>4.3499999999999925</v>
      </c>
      <c r="D39" s="306">
        <f t="shared" ca="1" si="8"/>
        <v>16.457182792506824</v>
      </c>
      <c r="E39" s="307">
        <f t="shared" ca="1" si="9"/>
        <v>108.01823111797471</v>
      </c>
      <c r="F39" s="304">
        <f t="shared" ca="1" si="10"/>
        <v>109.26471122609615</v>
      </c>
      <c r="G39" s="306">
        <f t="shared" ca="1" si="11"/>
        <v>22.804430700179928</v>
      </c>
      <c r="H39" s="307">
        <f t="shared" ca="1" si="12"/>
        <v>163.1744214839363</v>
      </c>
      <c r="I39" s="304">
        <f t="shared" ca="1" si="13"/>
        <v>164.76023150680689</v>
      </c>
      <c r="J39" s="306">
        <f t="shared" ca="1" si="14"/>
        <v>50.286247599082223</v>
      </c>
      <c r="K39" s="307">
        <f t="shared" ca="1" si="15"/>
        <v>408.53822245473111</v>
      </c>
      <c r="L39" s="304">
        <f t="shared" ca="1" si="0"/>
        <v>411.62141089120661</v>
      </c>
      <c r="M39" s="306">
        <f t="shared" ca="1" si="16"/>
        <v>1.4319407472641634</v>
      </c>
      <c r="N39" s="304">
        <f t="shared" ca="1" si="17"/>
        <v>82.044161331045842</v>
      </c>
      <c r="P39" s="310">
        <f t="shared" ca="1" si="18"/>
        <v>2</v>
      </c>
      <c r="Q39" s="304">
        <f t="shared" ca="1" si="19"/>
        <v>830.72222222222376</v>
      </c>
      <c r="R39" s="306">
        <f t="shared" ca="1" si="20"/>
        <v>0.4169007785556324</v>
      </c>
      <c r="S39" s="307">
        <f t="shared" ca="1" si="21"/>
        <v>6.5441172019607752</v>
      </c>
      <c r="T39" s="304">
        <f t="shared" ca="1" si="1"/>
        <v>64.197789751235206</v>
      </c>
      <c r="U39" s="311">
        <f t="shared" ca="1" si="2"/>
        <v>0</v>
      </c>
      <c r="V39" s="306">
        <f t="shared" ca="1" si="3"/>
        <v>1.1759558874768983</v>
      </c>
      <c r="W39" s="304">
        <f t="shared" ca="1" si="4"/>
        <v>52.845727591305653</v>
      </c>
      <c r="Y39" s="314" t="str">
        <f t="shared" ca="1" si="22"/>
        <v/>
      </c>
      <c r="Z39" s="315" t="str">
        <f t="shared" ca="1" si="23"/>
        <v/>
      </c>
      <c r="AA39" s="316" t="str">
        <f t="shared" ca="1" si="24"/>
        <v/>
      </c>
      <c r="AC39" s="310" t="e">
        <f t="shared" ca="1" si="25"/>
        <v>#N/A</v>
      </c>
      <c r="AD39" s="323" t="e">
        <f t="shared" ca="1" si="26"/>
        <v>#N/A</v>
      </c>
      <c r="AE39" s="324">
        <f t="shared" ca="1" si="5"/>
        <v>408.53822245473111</v>
      </c>
      <c r="AG39" s="306">
        <f t="shared" ca="1" si="27"/>
        <v>109.25628435238565</v>
      </c>
      <c r="AH39" s="304">
        <f t="shared" ca="1" si="28"/>
        <v>118.97197532972564</v>
      </c>
    </row>
    <row r="40" spans="1:34" x14ac:dyDescent="0.2">
      <c r="A40" s="347">
        <f t="shared" ca="1" si="6"/>
        <v>0.01</v>
      </c>
      <c r="B40" s="304">
        <f t="shared" ca="1" si="7"/>
        <v>4.3599999999999923</v>
      </c>
      <c r="D40" s="306">
        <f t="shared" ca="1" si="8"/>
        <v>16.418074653152129</v>
      </c>
      <c r="E40" s="307">
        <f t="shared" ca="1" si="9"/>
        <v>107.66760199017114</v>
      </c>
      <c r="F40" s="304">
        <f t="shared" ca="1" si="10"/>
        <v>108.91219258480834</v>
      </c>
      <c r="G40" s="306">
        <f t="shared" ca="1" si="11"/>
        <v>22.968611446711449</v>
      </c>
      <c r="H40" s="307">
        <f t="shared" ca="1" si="12"/>
        <v>164.25109750383803</v>
      </c>
      <c r="I40" s="304">
        <f t="shared" ca="1" si="13"/>
        <v>165.84926934721571</v>
      </c>
      <c r="J40" s="306">
        <f t="shared" ca="1" si="14"/>
        <v>50.515112809816678</v>
      </c>
      <c r="K40" s="307">
        <f t="shared" ca="1" si="15"/>
        <v>410.17535004966999</v>
      </c>
      <c r="L40" s="304">
        <f t="shared" ca="1" si="0"/>
        <v>413.27423632566041</v>
      </c>
      <c r="M40" s="306">
        <f t="shared" ca="1" si="16"/>
        <v>1.4318588777361625</v>
      </c>
      <c r="N40" s="304">
        <f t="shared" ca="1" si="17"/>
        <v>82.039470552620671</v>
      </c>
      <c r="P40" s="310">
        <f t="shared" ca="1" si="18"/>
        <v>2</v>
      </c>
      <c r="Q40" s="304">
        <f t="shared" ca="1" si="19"/>
        <v>828.61111111111268</v>
      </c>
      <c r="R40" s="306">
        <f t="shared" ca="1" si="20"/>
        <v>0.41584131024926485</v>
      </c>
      <c r="S40" s="307">
        <f t="shared" ca="1" si="21"/>
        <v>6.5399587888582822</v>
      </c>
      <c r="T40" s="304">
        <f t="shared" ca="1" si="1"/>
        <v>64.156995718699747</v>
      </c>
      <c r="U40" s="311">
        <f t="shared" ca="1" si="2"/>
        <v>0</v>
      </c>
      <c r="V40" s="306">
        <f t="shared" ca="1" si="3"/>
        <v>1.1757633035784161</v>
      </c>
      <c r="W40" s="304">
        <f t="shared" ca="1" si="4"/>
        <v>53.537870205110522</v>
      </c>
      <c r="Y40" s="314" t="str">
        <f t="shared" ca="1" si="22"/>
        <v/>
      </c>
      <c r="Z40" s="315" t="str">
        <f t="shared" ca="1" si="23"/>
        <v/>
      </c>
      <c r="AA40" s="316" t="str">
        <f t="shared" ca="1" si="24"/>
        <v/>
      </c>
      <c r="AC40" s="310" t="e">
        <f t="shared" ca="1" si="25"/>
        <v>#N/A</v>
      </c>
      <c r="AD40" s="323" t="e">
        <f t="shared" ca="1" si="26"/>
        <v>#N/A</v>
      </c>
      <c r="AE40" s="324">
        <f t="shared" ca="1" si="5"/>
        <v>410.17535004966999</v>
      </c>
      <c r="AG40" s="306">
        <f t="shared" ca="1" si="27"/>
        <v>108.90372845965427</v>
      </c>
      <c r="AH40" s="304">
        <f t="shared" ca="1" si="28"/>
        <v>118.61930763867043</v>
      </c>
    </row>
    <row r="41" spans="1:34" x14ac:dyDescent="0.2">
      <c r="A41" s="347">
        <f t="shared" ca="1" si="6"/>
        <v>0.01</v>
      </c>
      <c r="B41" s="304">
        <f t="shared" ca="1" si="7"/>
        <v>4.3699999999999921</v>
      </c>
      <c r="D41" s="306">
        <f t="shared" ca="1" si="8"/>
        <v>16.378718252381727</v>
      </c>
      <c r="E41" s="307">
        <f t="shared" ca="1" si="9"/>
        <v>107.31603763189247</v>
      </c>
      <c r="F41" s="304">
        <f t="shared" ca="1" si="10"/>
        <v>108.55871381239123</v>
      </c>
      <c r="G41" s="306">
        <f t="shared" ca="1" si="11"/>
        <v>23.132398629235265</v>
      </c>
      <c r="H41" s="307">
        <f t="shared" ca="1" si="12"/>
        <v>165.32425788015695</v>
      </c>
      <c r="I41" s="304">
        <f t="shared" ca="1" si="13"/>
        <v>166.93477202178843</v>
      </c>
      <c r="J41" s="306">
        <f t="shared" ca="1" si="14"/>
        <v>50.745617860196411</v>
      </c>
      <c r="K41" s="307">
        <f t="shared" ca="1" si="15"/>
        <v>411.82322682658997</v>
      </c>
      <c r="L41" s="304">
        <f t="shared" ca="1" si="0"/>
        <v>414.93793257049668</v>
      </c>
      <c r="M41" s="306">
        <f t="shared" ca="1" si="16"/>
        <v>1.4317774929216669</v>
      </c>
      <c r="N41" s="304">
        <f t="shared" ca="1" si="17"/>
        <v>82.034807546233608</v>
      </c>
      <c r="P41" s="310">
        <f t="shared" ca="1" si="18"/>
        <v>2</v>
      </c>
      <c r="Q41" s="304">
        <f t="shared" ca="1" si="19"/>
        <v>826.50000000000159</v>
      </c>
      <c r="R41" s="306">
        <f t="shared" ca="1" si="20"/>
        <v>0.4147818419428973</v>
      </c>
      <c r="S41" s="307">
        <f t="shared" ca="1" si="21"/>
        <v>6.5358109704388534</v>
      </c>
      <c r="T41" s="304">
        <f t="shared" ca="1" si="1"/>
        <v>64.11630562000515</v>
      </c>
      <c r="U41" s="311">
        <f t="shared" ca="1" si="2"/>
        <v>0</v>
      </c>
      <c r="V41" s="306">
        <f t="shared" ca="1" si="3"/>
        <v>1.1755694863945769</v>
      </c>
      <c r="W41" s="304">
        <f t="shared" ca="1" si="4"/>
        <v>54.232045525137998</v>
      </c>
      <c r="Y41" s="314" t="str">
        <f t="shared" ca="1" si="22"/>
        <v/>
      </c>
      <c r="Z41" s="315" t="str">
        <f t="shared" ca="1" si="23"/>
        <v/>
      </c>
      <c r="AA41" s="316" t="str">
        <f t="shared" ca="1" si="24"/>
        <v/>
      </c>
      <c r="AC41" s="310" t="e">
        <f t="shared" ca="1" si="25"/>
        <v>#N/A</v>
      </c>
      <c r="AD41" s="323" t="e">
        <f t="shared" ca="1" si="26"/>
        <v>#N/A</v>
      </c>
      <c r="AE41" s="324">
        <f t="shared" ca="1" si="5"/>
        <v>411.82322682658997</v>
      </c>
      <c r="AG41" s="306">
        <f t="shared" ca="1" si="27"/>
        <v>108.55021217274884</v>
      </c>
      <c r="AH41" s="304">
        <f t="shared" ca="1" si="28"/>
        <v>118.26568015674874</v>
      </c>
    </row>
    <row r="42" spans="1:34" x14ac:dyDescent="0.2">
      <c r="A42" s="347">
        <f t="shared" ca="1" si="6"/>
        <v>0.01</v>
      </c>
      <c r="B42" s="304">
        <f t="shared" ca="1" si="7"/>
        <v>4.3799999999999919</v>
      </c>
      <c r="D42" s="306">
        <f t="shared" ca="1" si="8"/>
        <v>16.339115930981443</v>
      </c>
      <c r="E42" s="307">
        <f t="shared" ca="1" si="9"/>
        <v>106.96354601236435</v>
      </c>
      <c r="F42" s="304">
        <f t="shared" ca="1" si="10"/>
        <v>108.20428311737588</v>
      </c>
      <c r="G42" s="306">
        <f t="shared" ca="1" si="11"/>
        <v>23.295789788545079</v>
      </c>
      <c r="H42" s="307">
        <f t="shared" ca="1" si="12"/>
        <v>166.39389334028058</v>
      </c>
      <c r="I42" s="304">
        <f t="shared" ca="1" si="13"/>
        <v>168.01673000867729</v>
      </c>
      <c r="J42" s="306">
        <f t="shared" ca="1" si="14"/>
        <v>50.977758802285315</v>
      </c>
      <c r="K42" s="307">
        <f t="shared" ca="1" si="15"/>
        <v>413.48181758269214</v>
      </c>
      <c r="L42" s="304">
        <f t="shared" ca="1" si="0"/>
        <v>416.61246424463906</v>
      </c>
      <c r="M42" s="306">
        <f t="shared" ca="1" si="16"/>
        <v>1.4316965851315699</v>
      </c>
      <c r="N42" s="304">
        <f t="shared" ca="1" si="17"/>
        <v>82.030171871331333</v>
      </c>
      <c r="P42" s="310">
        <f t="shared" ca="1" si="18"/>
        <v>2</v>
      </c>
      <c r="Q42" s="304">
        <f t="shared" ca="1" si="19"/>
        <v>824.38888888889062</v>
      </c>
      <c r="R42" s="306">
        <f t="shared" ca="1" si="20"/>
        <v>0.41372237363652986</v>
      </c>
      <c r="S42" s="307">
        <f t="shared" ca="1" si="21"/>
        <v>6.5316737467024879</v>
      </c>
      <c r="T42" s="304">
        <f t="shared" ca="1" si="1"/>
        <v>64.075719455151415</v>
      </c>
      <c r="U42" s="311">
        <f t="shared" ca="1" si="2"/>
        <v>0</v>
      </c>
      <c r="V42" s="306">
        <f t="shared" ca="1" si="3"/>
        <v>1.175374440669644</v>
      </c>
      <c r="W42" s="304">
        <f t="shared" ca="1" si="4"/>
        <v>54.928199387240838</v>
      </c>
      <c r="Y42" s="314" t="str">
        <f t="shared" ca="1" si="22"/>
        <v/>
      </c>
      <c r="Z42" s="315" t="str">
        <f t="shared" ca="1" si="23"/>
        <v/>
      </c>
      <c r="AA42" s="316" t="str">
        <f t="shared" ca="1" si="24"/>
        <v/>
      </c>
      <c r="AC42" s="310" t="e">
        <f t="shared" ca="1" si="25"/>
        <v>#N/A</v>
      </c>
      <c r="AD42" s="323" t="e">
        <f t="shared" ca="1" si="26"/>
        <v>#N/A</v>
      </c>
      <c r="AE42" s="324">
        <f t="shared" ca="1" si="5"/>
        <v>413.48181758269214</v>
      </c>
      <c r="AG42" s="306">
        <f t="shared" ca="1" si="27"/>
        <v>108.19574369641509</v>
      </c>
      <c r="AH42" s="304">
        <f t="shared" ca="1" si="28"/>
        <v>117.91110107919366</v>
      </c>
    </row>
    <row r="43" spans="1:34" x14ac:dyDescent="0.2">
      <c r="A43" s="347">
        <f t="shared" ca="1" si="6"/>
        <v>0.01</v>
      </c>
      <c r="B43" s="304">
        <f t="shared" ca="1" si="7"/>
        <v>4.3899999999999917</v>
      </c>
      <c r="D43" s="306">
        <f t="shared" ca="1" si="8"/>
        <v>16.29927000651778</v>
      </c>
      <c r="E43" s="307">
        <f t="shared" ca="1" si="9"/>
        <v>106.61013512340917</v>
      </c>
      <c r="F43" s="304">
        <f t="shared" ca="1" si="10"/>
        <v>107.84890872779812</v>
      </c>
      <c r="G43" s="306">
        <f t="shared" ca="1" si="11"/>
        <v>23.458782488610257</v>
      </c>
      <c r="H43" s="307">
        <f t="shared" ca="1" si="12"/>
        <v>167.45999469151468</v>
      </c>
      <c r="I43" s="304">
        <f t="shared" ca="1" si="13"/>
        <v>169.09513386827561</v>
      </c>
      <c r="J43" s="306">
        <f t="shared" ca="1" si="14"/>
        <v>51.211531663671089</v>
      </c>
      <c r="K43" s="307">
        <f t="shared" ca="1" si="15"/>
        <v>415.15108702285113</v>
      </c>
      <c r="L43" s="304">
        <f t="shared" ca="1" si="0"/>
        <v>418.2977958722638</v>
      </c>
      <c r="M43" s="306">
        <f t="shared" ca="1" si="16"/>
        <v>1.431616146845444</v>
      </c>
      <c r="N43" s="304">
        <f t="shared" ca="1" si="17"/>
        <v>82.025563097025042</v>
      </c>
      <c r="P43" s="310">
        <f t="shared" ca="1" si="18"/>
        <v>2</v>
      </c>
      <c r="Q43" s="304">
        <f t="shared" ca="1" si="19"/>
        <v>822.27777777777953</v>
      </c>
      <c r="R43" s="306">
        <f t="shared" ca="1" si="20"/>
        <v>0.41266290533016231</v>
      </c>
      <c r="S43" s="307">
        <f t="shared" ca="1" si="21"/>
        <v>6.5275471176491866</v>
      </c>
      <c r="T43" s="304">
        <f t="shared" ca="1" si="1"/>
        <v>64.035237224138527</v>
      </c>
      <c r="U43" s="311">
        <f t="shared" ca="1" si="2"/>
        <v>0</v>
      </c>
      <c r="V43" s="306">
        <f t="shared" ca="1" si="3"/>
        <v>1.175178171159726</v>
      </c>
      <c r="W43" s="304">
        <f t="shared" ca="1" si="4"/>
        <v>55.626277698911892</v>
      </c>
      <c r="Y43" s="314" t="str">
        <f t="shared" ca="1" si="22"/>
        <v/>
      </c>
      <c r="Z43" s="315" t="str">
        <f t="shared" ca="1" si="23"/>
        <v/>
      </c>
      <c r="AA43" s="316" t="str">
        <f t="shared" ca="1" si="24"/>
        <v/>
      </c>
      <c r="AC43" s="310" t="e">
        <f t="shared" ca="1" si="25"/>
        <v>#N/A</v>
      </c>
      <c r="AD43" s="323" t="e">
        <f t="shared" ca="1" si="26"/>
        <v>#N/A</v>
      </c>
      <c r="AE43" s="324">
        <f t="shared" ca="1" si="5"/>
        <v>415.15108702285113</v>
      </c>
      <c r="AG43" s="306">
        <f t="shared" ca="1" si="27"/>
        <v>107.84033125487124</v>
      </c>
      <c r="AH43" s="304">
        <f t="shared" ca="1" si="28"/>
        <v>117.5555786209154</v>
      </c>
    </row>
    <row r="44" spans="1:34" x14ac:dyDescent="0.2">
      <c r="A44" s="347">
        <f t="shared" ca="1" si="6"/>
        <v>0.01</v>
      </c>
      <c r="B44" s="304">
        <f t="shared" ca="1" si="7"/>
        <v>4.3999999999999915</v>
      </c>
      <c r="D44" s="306">
        <f t="shared" ca="1" si="8"/>
        <v>16.259182774052086</v>
      </c>
      <c r="E44" s="307">
        <f t="shared" ca="1" si="9"/>
        <v>106.2558129787038</v>
      </c>
      <c r="F44" s="304">
        <f t="shared" ca="1" si="10"/>
        <v>107.49259889055298</v>
      </c>
      <c r="G44" s="306">
        <f t="shared" ca="1" si="11"/>
        <v>23.621374316350778</v>
      </c>
      <c r="H44" s="307">
        <f t="shared" ca="1" si="12"/>
        <v>168.52255282130173</v>
      </c>
      <c r="I44" s="304">
        <f t="shared" ca="1" si="13"/>
        <v>170.16997424340636</v>
      </c>
      <c r="J44" s="306">
        <f t="shared" ca="1" si="14"/>
        <v>51.446932447695893</v>
      </c>
      <c r="K44" s="307">
        <f t="shared" ca="1" si="15"/>
        <v>416.83099976041524</v>
      </c>
      <c r="L44" s="304">
        <f t="shared" ca="1" si="0"/>
        <v>419.99389188361425</v>
      </c>
      <c r="M44" s="306">
        <f t="shared" ca="1" si="16"/>
        <v>1.4315361707065546</v>
      </c>
      <c r="N44" s="304">
        <f t="shared" ca="1" si="17"/>
        <v>82.020980801804924</v>
      </c>
      <c r="P44" s="310">
        <f t="shared" ca="1" si="18"/>
        <v>2</v>
      </c>
      <c r="Q44" s="304">
        <f t="shared" ca="1" si="19"/>
        <v>820.16666666666845</v>
      </c>
      <c r="R44" s="306">
        <f t="shared" ca="1" si="20"/>
        <v>0.41160343702379476</v>
      </c>
      <c r="S44" s="307">
        <f t="shared" ca="1" si="21"/>
        <v>6.5234310832789486</v>
      </c>
      <c r="T44" s="304">
        <f t="shared" ca="1" si="1"/>
        <v>63.994858926966486</v>
      </c>
      <c r="U44" s="311">
        <f t="shared" ca="1" si="2"/>
        <v>0</v>
      </c>
      <c r="V44" s="306">
        <f t="shared" ca="1" si="3"/>
        <v>1.1749806826326279</v>
      </c>
      <c r="W44" s="304">
        <f t="shared" ca="1" si="4"/>
        <v>56.32622644306079</v>
      </c>
      <c r="Y44" s="314" t="str">
        <f t="shared" ca="1" si="22"/>
        <v/>
      </c>
      <c r="Z44" s="315" t="str">
        <f t="shared" ca="1" si="23"/>
        <v/>
      </c>
      <c r="AA44" s="316" t="str">
        <f t="shared" ca="1" si="24"/>
        <v/>
      </c>
      <c r="AC44" s="310" t="e">
        <f t="shared" ca="1" si="25"/>
        <v>#N/A</v>
      </c>
      <c r="AD44" s="323" t="e">
        <f t="shared" ca="1" si="26"/>
        <v>#N/A</v>
      </c>
      <c r="AE44" s="324">
        <f t="shared" ca="1" si="5"/>
        <v>416.83099976041524</v>
      </c>
      <c r="AG44" s="306">
        <f t="shared" ca="1" si="27"/>
        <v>107.48398309116111</v>
      </c>
      <c r="AH44" s="304">
        <f t="shared" ca="1" si="28"/>
        <v>117.19912101584841</v>
      </c>
    </row>
    <row r="45" spans="1:34" x14ac:dyDescent="0.2">
      <c r="A45" s="347">
        <f t="shared" ca="1" si="6"/>
        <v>0.01</v>
      </c>
      <c r="B45" s="304">
        <f t="shared" ca="1" si="7"/>
        <v>4.4099999999999913</v>
      </c>
      <c r="D45" s="306">
        <f t="shared" ca="1" si="8"/>
        <v>16.218856506824984</v>
      </c>
      <c r="E45" s="307">
        <f t="shared" ca="1" si="9"/>
        <v>105.90058761304033</v>
      </c>
      <c r="F45" s="304">
        <f t="shared" ca="1" si="10"/>
        <v>107.1353618707484</v>
      </c>
      <c r="G45" s="306">
        <f t="shared" ca="1" si="11"/>
        <v>23.783562881419027</v>
      </c>
      <c r="H45" s="307">
        <f t="shared" ca="1" si="12"/>
        <v>169.58155869743214</v>
      </c>
      <c r="I45" s="304">
        <f t="shared" ca="1" si="13"/>
        <v>171.2412418595037</v>
      </c>
      <c r="J45" s="306">
        <f t="shared" ca="1" si="14"/>
        <v>51.683957133684743</v>
      </c>
      <c r="K45" s="307">
        <f t="shared" ca="1" si="15"/>
        <v>418.52152031800892</v>
      </c>
      <c r="L45" s="304">
        <f t="shared" ca="1" si="0"/>
        <v>421.70071661581761</v>
      </c>
      <c r="M45" s="306">
        <f t="shared" ca="1" si="16"/>
        <v>1.4314566495170586</v>
      </c>
      <c r="N45" s="304">
        <f t="shared" ca="1" si="17"/>
        <v>82.016424573264956</v>
      </c>
      <c r="P45" s="310">
        <f t="shared" ca="1" si="18"/>
        <v>2</v>
      </c>
      <c r="Q45" s="304">
        <f t="shared" ca="1" si="19"/>
        <v>818.05555555555736</v>
      </c>
      <c r="R45" s="306">
        <f t="shared" ca="1" si="20"/>
        <v>0.41054396871742721</v>
      </c>
      <c r="S45" s="307">
        <f t="shared" ca="1" si="21"/>
        <v>6.5193256435917739</v>
      </c>
      <c r="T45" s="304">
        <f t="shared" ca="1" si="1"/>
        <v>63.954584563635308</v>
      </c>
      <c r="U45" s="311">
        <f t="shared" ca="1" si="2"/>
        <v>0</v>
      </c>
      <c r="V45" s="306">
        <f t="shared" ca="1" si="3"/>
        <v>1.1747819798677006</v>
      </c>
      <c r="W45" s="304">
        <f t="shared" ca="1" si="4"/>
        <v>57.027991681768796</v>
      </c>
      <c r="Y45" s="314" t="str">
        <f t="shared" ca="1" si="22"/>
        <v/>
      </c>
      <c r="Z45" s="315" t="str">
        <f t="shared" ca="1" si="23"/>
        <v/>
      </c>
      <c r="AA45" s="316" t="str">
        <f t="shared" ca="1" si="24"/>
        <v/>
      </c>
      <c r="AC45" s="310" t="e">
        <f t="shared" ca="1" si="25"/>
        <v>#N/A</v>
      </c>
      <c r="AD45" s="323" t="e">
        <f t="shared" ca="1" si="26"/>
        <v>#N/A</v>
      </c>
      <c r="AE45" s="324">
        <f t="shared" ca="1" si="5"/>
        <v>418.52152031800892</v>
      </c>
      <c r="AG45" s="306">
        <f t="shared" ca="1" si="27"/>
        <v>107.1267074665067</v>
      </c>
      <c r="AH45" s="304">
        <f t="shared" ca="1" si="28"/>
        <v>116.84173651629824</v>
      </c>
    </row>
    <row r="46" spans="1:34" x14ac:dyDescent="0.2">
      <c r="A46" s="347">
        <f t="shared" ca="1" si="6"/>
        <v>0.01</v>
      </c>
      <c r="B46" s="304">
        <f t="shared" ca="1" si="7"/>
        <v>4.419999999999991</v>
      </c>
      <c r="D46" s="306">
        <f t="shared" ca="1" si="8"/>
        <v>16.178293456912023</v>
      </c>
      <c r="E46" s="307">
        <f t="shared" ca="1" si="9"/>
        <v>105.54446708159125</v>
      </c>
      <c r="F46" s="304">
        <f t="shared" ca="1" si="10"/>
        <v>106.7772059510599</v>
      </c>
      <c r="G46" s="306">
        <f t="shared" ca="1" si="11"/>
        <v>23.945345815988148</v>
      </c>
      <c r="H46" s="307">
        <f t="shared" ca="1" si="12"/>
        <v>170.63700336824806</v>
      </c>
      <c r="I46" s="304">
        <f t="shared" ca="1" si="13"/>
        <v>172.30892752478834</v>
      </c>
      <c r="J46" s="306">
        <f t="shared" ca="1" si="14"/>
        <v>51.922601677171777</v>
      </c>
      <c r="K46" s="307">
        <f t="shared" ca="1" si="15"/>
        <v>420.22261312833734</v>
      </c>
      <c r="L46" s="304">
        <f t="shared" ca="1" si="0"/>
        <v>423.41823431370375</v>
      </c>
      <c r="M46" s="306">
        <f t="shared" ca="1" si="16"/>
        <v>1.4313775762333782</v>
      </c>
      <c r="N46" s="304">
        <f t="shared" ca="1" si="17"/>
        <v>82.011894007837824</v>
      </c>
      <c r="P46" s="310">
        <f t="shared" ca="1" si="18"/>
        <v>2</v>
      </c>
      <c r="Q46" s="304">
        <f t="shared" ca="1" si="19"/>
        <v>815.94444444444628</v>
      </c>
      <c r="R46" s="306">
        <f t="shared" ca="1" si="20"/>
        <v>0.40948450041105966</v>
      </c>
      <c r="S46" s="307">
        <f t="shared" ca="1" si="21"/>
        <v>6.5152307985876634</v>
      </c>
      <c r="T46" s="304">
        <f t="shared" ca="1" si="1"/>
        <v>63.914414134144984</v>
      </c>
      <c r="U46" s="311">
        <f t="shared" ca="1" si="2"/>
        <v>0</v>
      </c>
      <c r="V46" s="306">
        <f t="shared" ca="1" si="3"/>
        <v>1.1745820676556913</v>
      </c>
      <c r="W46" s="304">
        <f t="shared" ca="1" si="4"/>
        <v>57.731519560022164</v>
      </c>
      <c r="Y46" s="314" t="str">
        <f t="shared" ca="1" si="22"/>
        <v/>
      </c>
      <c r="Z46" s="315" t="str">
        <f t="shared" ca="1" si="23"/>
        <v/>
      </c>
      <c r="AA46" s="316" t="str">
        <f t="shared" ca="1" si="24"/>
        <v/>
      </c>
      <c r="AC46" s="310" t="e">
        <f t="shared" ca="1" si="25"/>
        <v>#N/A</v>
      </c>
      <c r="AD46" s="323" t="e">
        <f t="shared" ca="1" si="26"/>
        <v>#N/A</v>
      </c>
      <c r="AE46" s="324">
        <f t="shared" ca="1" si="5"/>
        <v>420.22261312833734</v>
      </c>
      <c r="AG46" s="306">
        <f t="shared" ca="1" si="27"/>
        <v>106.76851265966152</v>
      </c>
      <c r="AH46" s="304">
        <f t="shared" ca="1" si="28"/>
        <v>116.48343339228924</v>
      </c>
    </row>
    <row r="47" spans="1:34" x14ac:dyDescent="0.2">
      <c r="A47" s="347">
        <f t="shared" ca="1" si="6"/>
        <v>0.01</v>
      </c>
      <c r="B47" s="304">
        <f t="shared" ca="1" si="7"/>
        <v>4.4299999999999908</v>
      </c>
      <c r="D47" s="306">
        <f t="shared" ca="1" si="8"/>
        <v>16.137495855851903</v>
      </c>
      <c r="E47" s="307">
        <f t="shared" ca="1" si="9"/>
        <v>105.18745945917786</v>
      </c>
      <c r="F47" s="304">
        <f t="shared" ca="1" si="10"/>
        <v>106.41813943108488</v>
      </c>
      <c r="G47" s="306">
        <f t="shared" ca="1" si="11"/>
        <v>24.106720774546666</v>
      </c>
      <c r="H47" s="307">
        <f t="shared" ca="1" si="12"/>
        <v>171.68887796283983</v>
      </c>
      <c r="I47" s="304">
        <f t="shared" ca="1" si="13"/>
        <v>173.37302213043662</v>
      </c>
      <c r="J47" s="306">
        <f t="shared" ca="1" si="14"/>
        <v>52.162862010124449</v>
      </c>
      <c r="K47" s="307">
        <f t="shared" ca="1" si="15"/>
        <v>421.93424253499279</v>
      </c>
      <c r="L47" s="304">
        <f t="shared" ca="1" si="0"/>
        <v>425.14640913062573</v>
      </c>
      <c r="M47" s="306">
        <f t="shared" ca="1" si="16"/>
        <v>1.4312989439617398</v>
      </c>
      <c r="N47" s="304">
        <f t="shared" ca="1" si="17"/>
        <v>82.007388710539416</v>
      </c>
      <c r="P47" s="310">
        <f t="shared" ca="1" si="18"/>
        <v>2</v>
      </c>
      <c r="Q47" s="304">
        <f t="shared" ca="1" si="19"/>
        <v>813.8333333333353</v>
      </c>
      <c r="R47" s="306">
        <f t="shared" ca="1" si="20"/>
        <v>0.40842503210469222</v>
      </c>
      <c r="S47" s="307">
        <f t="shared" ca="1" si="21"/>
        <v>6.5111465482666162</v>
      </c>
      <c r="T47" s="304">
        <f t="shared" ca="1" si="1"/>
        <v>63.874347638495507</v>
      </c>
      <c r="U47" s="311">
        <f t="shared" ca="1" si="2"/>
        <v>0</v>
      </c>
      <c r="V47" s="306">
        <f t="shared" ca="1" si="3"/>
        <v>1.1743809507985952</v>
      </c>
      <c r="W47" s="304">
        <f t="shared" ca="1" si="4"/>
        <v>58.436756309423309</v>
      </c>
      <c r="Y47" s="314" t="str">
        <f t="shared" ca="1" si="22"/>
        <v/>
      </c>
      <c r="Z47" s="315" t="str">
        <f t="shared" ca="1" si="23"/>
        <v/>
      </c>
      <c r="AA47" s="316" t="str">
        <f t="shared" ca="1" si="24"/>
        <v/>
      </c>
      <c r="AC47" s="310" t="e">
        <f t="shared" ca="1" si="25"/>
        <v>#N/A</v>
      </c>
      <c r="AD47" s="323" t="e">
        <f t="shared" ca="1" si="26"/>
        <v>#N/A</v>
      </c>
      <c r="AE47" s="324">
        <f t="shared" ca="1" si="5"/>
        <v>421.93424253499279</v>
      </c>
      <c r="AG47" s="306">
        <f t="shared" ca="1" si="27"/>
        <v>106.4094069662637</v>
      </c>
      <c r="AH47" s="304">
        <f t="shared" ca="1" si="28"/>
        <v>116.12421993091232</v>
      </c>
    </row>
    <row r="48" spans="1:34" x14ac:dyDescent="0.2">
      <c r="A48" s="347">
        <f t="shared" ca="1" si="6"/>
        <v>0.01</v>
      </c>
      <c r="B48" s="304">
        <f t="shared" ca="1" si="7"/>
        <v>4.4399999999999906</v>
      </c>
      <c r="D48" s="306">
        <f t="shared" ca="1" si="8"/>
        <v>16.096465915248736</v>
      </c>
      <c r="E48" s="307">
        <f t="shared" ca="1" si="9"/>
        <v>104.82957283954239</v>
      </c>
      <c r="F48" s="304">
        <f t="shared" ca="1" si="10"/>
        <v>106.05817062669753</v>
      </c>
      <c r="G48" s="306">
        <f t="shared" ca="1" si="11"/>
        <v>24.267685433699153</v>
      </c>
      <c r="H48" s="307">
        <f t="shared" ca="1" si="12"/>
        <v>172.73717369123526</v>
      </c>
      <c r="I48" s="304">
        <f t="shared" ca="1" si="13"/>
        <v>174.43351665074275</v>
      </c>
      <c r="J48" s="306">
        <f t="shared" ca="1" si="14"/>
        <v>52.404734041165682</v>
      </c>
      <c r="K48" s="307">
        <f t="shared" ca="1" si="15"/>
        <v>423.65637279326319</v>
      </c>
      <c r="L48" s="304">
        <f t="shared" ca="1" si="0"/>
        <v>426.88520512928267</v>
      </c>
      <c r="M48" s="306">
        <f t="shared" ca="1" si="16"/>
        <v>1.4312207459538762</v>
      </c>
      <c r="N48" s="304">
        <f t="shared" ca="1" si="17"/>
        <v>82.002908294722502</v>
      </c>
      <c r="P48" s="310">
        <f t="shared" ca="1" si="18"/>
        <v>2</v>
      </c>
      <c r="Q48" s="304">
        <f t="shared" ca="1" si="19"/>
        <v>811.72222222222422</v>
      </c>
      <c r="R48" s="306">
        <f t="shared" ca="1" si="20"/>
        <v>0.40736556379832467</v>
      </c>
      <c r="S48" s="307">
        <f t="shared" ca="1" si="21"/>
        <v>6.5070728926286332</v>
      </c>
      <c r="T48" s="304">
        <f t="shared" ca="1" si="1"/>
        <v>63.834385076686893</v>
      </c>
      <c r="U48" s="311">
        <f t="shared" ca="1" si="2"/>
        <v>0</v>
      </c>
      <c r="V48" s="306">
        <f t="shared" ca="1" si="3"/>
        <v>1.1741786341095037</v>
      </c>
      <c r="W48" s="304">
        <f t="shared" ca="1" si="4"/>
        <v>59.143648251879142</v>
      </c>
      <c r="Y48" s="314" t="str">
        <f t="shared" ca="1" si="22"/>
        <v/>
      </c>
      <c r="Z48" s="315" t="str">
        <f t="shared" ca="1" si="23"/>
        <v/>
      </c>
      <c r="AA48" s="316" t="str">
        <f t="shared" ca="1" si="24"/>
        <v/>
      </c>
      <c r="AC48" s="310" t="e">
        <f t="shared" ca="1" si="25"/>
        <v>#N/A</v>
      </c>
      <c r="AD48" s="323" t="e">
        <f t="shared" ca="1" si="26"/>
        <v>#N/A</v>
      </c>
      <c r="AE48" s="324">
        <f t="shared" ca="1" si="5"/>
        <v>423.65637279326319</v>
      </c>
      <c r="AG48" s="306">
        <f t="shared" ca="1" si="27"/>
        <v>106.04939869818966</v>
      </c>
      <c r="AH48" s="304">
        <f t="shared" ca="1" si="28"/>
        <v>115.76410443567346</v>
      </c>
    </row>
    <row r="49" spans="1:34" x14ac:dyDescent="0.2">
      <c r="A49" s="347">
        <f t="shared" ca="1" si="6"/>
        <v>0.01</v>
      </c>
      <c r="B49" s="304">
        <f t="shared" ca="1" si="7"/>
        <v>4.4499999999999904</v>
      </c>
      <c r="D49" s="306">
        <f t="shared" ca="1" si="8"/>
        <v>16.055205827348985</v>
      </c>
      <c r="E49" s="307">
        <f t="shared" ca="1" si="9"/>
        <v>104.47081533462394</v>
      </c>
      <c r="F49" s="304">
        <f t="shared" ca="1" si="10"/>
        <v>105.69730786940431</v>
      </c>
      <c r="G49" s="306">
        <f t="shared" ca="1" si="11"/>
        <v>24.428237491972641</v>
      </c>
      <c r="H49" s="307">
        <f t="shared" ca="1" si="12"/>
        <v>173.78188184458151</v>
      </c>
      <c r="I49" s="304">
        <f t="shared" ca="1" si="13"/>
        <v>175.49040214327479</v>
      </c>
      <c r="J49" s="306">
        <f t="shared" ca="1" si="14"/>
        <v>52.648213655794038</v>
      </c>
      <c r="K49" s="307">
        <f t="shared" ca="1" si="15"/>
        <v>425.38896807094227</v>
      </c>
      <c r="L49" s="304">
        <f t="shared" ca="1" si="0"/>
        <v>428.63458628254358</v>
      </c>
      <c r="M49" s="306">
        <f t="shared" ca="1" si="16"/>
        <v>1.4311429756028793</v>
      </c>
      <c r="N49" s="304">
        <f t="shared" ca="1" si="17"/>
        <v>81.99845238183913</v>
      </c>
      <c r="P49" s="310">
        <f t="shared" ca="1" si="18"/>
        <v>2</v>
      </c>
      <c r="Q49" s="304">
        <f t="shared" ca="1" si="19"/>
        <v>809.61111111111313</v>
      </c>
      <c r="R49" s="306">
        <f t="shared" ca="1" si="20"/>
        <v>0.40630609549195712</v>
      </c>
      <c r="S49" s="307">
        <f t="shared" ca="1" si="21"/>
        <v>6.5030098316737135</v>
      </c>
      <c r="T49" s="304">
        <f t="shared" ca="1" si="1"/>
        <v>63.794526448719132</v>
      </c>
      <c r="U49" s="311">
        <f t="shared" ca="1" si="2"/>
        <v>0</v>
      </c>
      <c r="V49" s="306">
        <f t="shared" ca="1" si="3"/>
        <v>1.1739751224124551</v>
      </c>
      <c r="W49" s="304">
        <f t="shared" ca="1" si="4"/>
        <v>59.85214180326642</v>
      </c>
      <c r="Y49" s="314" t="str">
        <f t="shared" ca="1" si="22"/>
        <v/>
      </c>
      <c r="Z49" s="315" t="str">
        <f t="shared" ca="1" si="23"/>
        <v/>
      </c>
      <c r="AA49" s="316" t="str">
        <f t="shared" ca="1" si="24"/>
        <v/>
      </c>
      <c r="AC49" s="310" t="e">
        <f t="shared" ca="1" si="25"/>
        <v>#N/A</v>
      </c>
      <c r="AD49" s="323" t="e">
        <f t="shared" ca="1" si="26"/>
        <v>#N/A</v>
      </c>
      <c r="AE49" s="324">
        <f t="shared" ca="1" si="5"/>
        <v>425.38896807094227</v>
      </c>
      <c r="AG49" s="306">
        <f t="shared" ca="1" si="27"/>
        <v>105.6884961829083</v>
      </c>
      <c r="AH49" s="304">
        <f t="shared" ca="1" si="28"/>
        <v>115.40309522584288</v>
      </c>
    </row>
    <row r="50" spans="1:34" x14ac:dyDescent="0.2">
      <c r="A50" s="347">
        <f t="shared" ca="1" si="6"/>
        <v>0.01</v>
      </c>
      <c r="B50" s="304">
        <f t="shared" ca="1" si="7"/>
        <v>4.4599999999999902</v>
      </c>
      <c r="D50" s="306">
        <f t="shared" ca="1" si="8"/>
        <v>16.013717765594656</v>
      </c>
      <c r="E50" s="307">
        <f t="shared" ca="1" si="9"/>
        <v>104.11119507383751</v>
      </c>
      <c r="F50" s="304">
        <f t="shared" ca="1" si="10"/>
        <v>105.33555950569955</v>
      </c>
      <c r="G50" s="306">
        <f t="shared" ca="1" si="11"/>
        <v>24.588374669628589</v>
      </c>
      <c r="H50" s="307">
        <f t="shared" ca="1" si="12"/>
        <v>174.82299379531989</v>
      </c>
      <c r="I50" s="304">
        <f t="shared" ca="1" si="13"/>
        <v>176.5436697490241</v>
      </c>
      <c r="J50" s="306">
        <f t="shared" ca="1" si="14"/>
        <v>52.893296716602045</v>
      </c>
      <c r="K50" s="307">
        <f t="shared" ca="1" si="15"/>
        <v>427.13199244914176</v>
      </c>
      <c r="L50" s="304">
        <f t="shared" ca="1" si="0"/>
        <v>430.3945164742741</v>
      </c>
      <c r="M50" s="306">
        <f t="shared" ca="1" si="16"/>
        <v>1.4310656264392021</v>
      </c>
      <c r="N50" s="304">
        <f t="shared" ca="1" si="17"/>
        <v>81.99402060121156</v>
      </c>
      <c r="P50" s="310">
        <f t="shared" ca="1" si="18"/>
        <v>2</v>
      </c>
      <c r="Q50" s="304">
        <f t="shared" ca="1" si="19"/>
        <v>807.50000000000205</v>
      </c>
      <c r="R50" s="306">
        <f t="shared" ca="1" si="20"/>
        <v>0.40524662718558957</v>
      </c>
      <c r="S50" s="307">
        <f t="shared" ca="1" si="21"/>
        <v>6.498957365401858</v>
      </c>
      <c r="T50" s="304">
        <f t="shared" ca="1" si="1"/>
        <v>63.754771754592227</v>
      </c>
      <c r="U50" s="311">
        <f t="shared" ca="1" si="2"/>
        <v>0</v>
      </c>
      <c r="V50" s="306">
        <f t="shared" ca="1" si="3"/>
        <v>1.1737704205422856</v>
      </c>
      <c r="W50" s="304">
        <f t="shared" ca="1" si="4"/>
        <v>60.562183477073773</v>
      </c>
      <c r="Y50" s="314" t="str">
        <f t="shared" ca="1" si="22"/>
        <v/>
      </c>
      <c r="Z50" s="315" t="str">
        <f t="shared" ca="1" si="23"/>
        <v/>
      </c>
      <c r="AA50" s="316" t="str">
        <f t="shared" ca="1" si="24"/>
        <v/>
      </c>
      <c r="AC50" s="310" t="e">
        <f t="shared" ca="1" si="25"/>
        <v>#N/A</v>
      </c>
      <c r="AD50" s="323" t="e">
        <f t="shared" ca="1" si="26"/>
        <v>#N/A</v>
      </c>
      <c r="AE50" s="324">
        <f t="shared" ca="1" si="5"/>
        <v>427.13199244914176</v>
      </c>
      <c r="AG50" s="306">
        <f t="shared" ca="1" si="27"/>
        <v>105.32670776283544</v>
      </c>
      <c r="AH50" s="304">
        <f t="shared" ca="1" si="28"/>
        <v>115.04120063580466</v>
      </c>
    </row>
    <row r="51" spans="1:34" x14ac:dyDescent="0.2">
      <c r="A51" s="347">
        <f t="shared" ca="1" si="6"/>
        <v>0.01</v>
      </c>
      <c r="B51" s="304">
        <f t="shared" ca="1" si="7"/>
        <v>4.46999999999999</v>
      </c>
      <c r="D51" s="306">
        <f t="shared" ca="1" si="8"/>
        <v>15.972003885153422</v>
      </c>
      <c r="E51" s="307">
        <f t="shared" ca="1" si="9"/>
        <v>103.75072020335705</v>
      </c>
      <c r="F51" s="304">
        <f t="shared" ca="1" si="10"/>
        <v>104.97293389642226</v>
      </c>
      <c r="G51" s="306">
        <f t="shared" ca="1" si="11"/>
        <v>24.748094708480124</v>
      </c>
      <c r="H51" s="307">
        <f t="shared" ca="1" si="12"/>
        <v>175.86050099735345</v>
      </c>
      <c r="I51" s="304">
        <f t="shared" ca="1" si="13"/>
        <v>177.5933106925485</v>
      </c>
      <c r="J51" s="306">
        <f t="shared" ca="1" si="14"/>
        <v>53.139979063492589</v>
      </c>
      <c r="K51" s="307">
        <f t="shared" ca="1" si="15"/>
        <v>428.8854099231051</v>
      </c>
      <c r="L51" s="304">
        <f t="shared" ca="1" si="0"/>
        <v>432.16495950016395</v>
      </c>
      <c r="M51" s="306">
        <f t="shared" ca="1" si="16"/>
        <v>1.4309886921267985</v>
      </c>
      <c r="N51" s="304">
        <f t="shared" ca="1" si="17"/>
        <v>81.989612589811088</v>
      </c>
      <c r="P51" s="310">
        <f t="shared" ca="1" si="18"/>
        <v>2</v>
      </c>
      <c r="Q51" s="304">
        <f t="shared" ca="1" si="19"/>
        <v>805.38888888889096</v>
      </c>
      <c r="R51" s="306">
        <f t="shared" ca="1" si="20"/>
        <v>0.40418715887922202</v>
      </c>
      <c r="S51" s="307">
        <f t="shared" ca="1" si="21"/>
        <v>6.4949154938130658</v>
      </c>
      <c r="T51" s="304">
        <f t="shared" ca="1" si="1"/>
        <v>63.715120994306176</v>
      </c>
      <c r="U51" s="311">
        <f t="shared" ca="1" si="2"/>
        <v>0</v>
      </c>
      <c r="V51" s="306">
        <f t="shared" ca="1" si="3"/>
        <v>1.1735645333444766</v>
      </c>
      <c r="W51" s="304">
        <f t="shared" ca="1" si="4"/>
        <v>61.273719888019819</v>
      </c>
      <c r="Y51" s="314" t="str">
        <f t="shared" ca="1" si="22"/>
        <v/>
      </c>
      <c r="Z51" s="315" t="str">
        <f t="shared" ca="1" si="23"/>
        <v/>
      </c>
      <c r="AA51" s="316" t="str">
        <f t="shared" ca="1" si="24"/>
        <v/>
      </c>
      <c r="AC51" s="310" t="e">
        <f t="shared" ca="1" si="25"/>
        <v>#N/A</v>
      </c>
      <c r="AD51" s="323" t="e">
        <f t="shared" ca="1" si="26"/>
        <v>#N/A</v>
      </c>
      <c r="AE51" s="324">
        <f t="shared" ca="1" si="5"/>
        <v>428.8854099231051</v>
      </c>
      <c r="AG51" s="306">
        <f t="shared" ca="1" si="27"/>
        <v>104.96404179468921</v>
      </c>
      <c r="AH51" s="304">
        <f t="shared" ca="1" si="28"/>
        <v>114.67842901440751</v>
      </c>
    </row>
    <row r="52" spans="1:34" x14ac:dyDescent="0.2">
      <c r="A52" s="347">
        <f t="shared" ca="1" si="6"/>
        <v>0.01</v>
      </c>
      <c r="B52" s="304">
        <f t="shared" ca="1" si="7"/>
        <v>4.4799999999999898</v>
      </c>
      <c r="D52" s="306">
        <f t="shared" ca="1" si="8"/>
        <v>15.930066323426969</v>
      </c>
      <c r="E52" s="307">
        <f t="shared" ca="1" si="9"/>
        <v>103.3893988854015</v>
      </c>
      <c r="F52" s="304">
        <f t="shared" ca="1" si="10"/>
        <v>104.60943941611313</v>
      </c>
      <c r="G52" s="306">
        <f t="shared" ca="1" si="11"/>
        <v>24.907395371714394</v>
      </c>
      <c r="H52" s="307">
        <f t="shared" ca="1" si="12"/>
        <v>176.89439498620746</v>
      </c>
      <c r="I52" s="304">
        <f t="shared" ca="1" si="13"/>
        <v>178.63931628210872</v>
      </c>
      <c r="J52" s="306">
        <f t="shared" ca="1" si="14"/>
        <v>53.388256513893559</v>
      </c>
      <c r="K52" s="307">
        <f t="shared" ca="1" si="15"/>
        <v>430.6491844030229</v>
      </c>
      <c r="L52" s="304">
        <f t="shared" ca="1" si="0"/>
        <v>433.94587906855634</v>
      </c>
      <c r="M52" s="306">
        <f t="shared" ca="1" si="16"/>
        <v>1.4309121664594002</v>
      </c>
      <c r="N52" s="304">
        <f t="shared" ca="1" si="17"/>
        <v>81.985227992044742</v>
      </c>
      <c r="P52" s="310">
        <f t="shared" ca="1" si="18"/>
        <v>2</v>
      </c>
      <c r="Q52" s="304">
        <f t="shared" ca="1" si="19"/>
        <v>803.27777777777987</v>
      </c>
      <c r="R52" s="306">
        <f t="shared" ca="1" si="20"/>
        <v>0.40312769057285452</v>
      </c>
      <c r="S52" s="307">
        <f t="shared" ca="1" si="21"/>
        <v>6.4908842169073369</v>
      </c>
      <c r="T52" s="304">
        <f t="shared" ca="1" si="1"/>
        <v>63.675574167860979</v>
      </c>
      <c r="U52" s="311">
        <f t="shared" ca="1" si="2"/>
        <v>0</v>
      </c>
      <c r="V52" s="306">
        <f t="shared" ca="1" si="3"/>
        <v>1.1733574656750079</v>
      </c>
      <c r="W52" s="304">
        <f t="shared" ca="1" si="4"/>
        <v>61.98669775564715</v>
      </c>
      <c r="Y52" s="314" t="str">
        <f t="shared" ca="1" si="22"/>
        <v/>
      </c>
      <c r="Z52" s="315" t="str">
        <f t="shared" ca="1" si="23"/>
        <v/>
      </c>
      <c r="AA52" s="316" t="str">
        <f t="shared" ca="1" si="24"/>
        <v/>
      </c>
      <c r="AC52" s="310" t="e">
        <f t="shared" ca="1" si="25"/>
        <v>#N/A</v>
      </c>
      <c r="AD52" s="323" t="e">
        <f t="shared" ca="1" si="26"/>
        <v>#N/A</v>
      </c>
      <c r="AE52" s="324">
        <f t="shared" ca="1" si="5"/>
        <v>430.6491844030229</v>
      </c>
      <c r="AG52" s="306">
        <f t="shared" ca="1" si="27"/>
        <v>104.60050664884585</v>
      </c>
      <c r="AH52" s="304">
        <f t="shared" ca="1" si="28"/>
        <v>114.31478872431607</v>
      </c>
    </row>
    <row r="53" spans="1:34" x14ac:dyDescent="0.2">
      <c r="A53" s="347">
        <f t="shared" ca="1" si="6"/>
        <v>0.01</v>
      </c>
      <c r="B53" s="304">
        <f t="shared" ca="1" si="7"/>
        <v>4.4899999999999896</v>
      </c>
      <c r="D53" s="306">
        <f t="shared" ca="1" si="8"/>
        <v>15.887907200538097</v>
      </c>
      <c r="E53" s="307">
        <f t="shared" ca="1" si="9"/>
        <v>103.02723929752464</v>
      </c>
      <c r="F53" s="304">
        <f t="shared" ca="1" si="10"/>
        <v>104.24508445237269</v>
      </c>
      <c r="G53" s="306">
        <f t="shared" ca="1" si="11"/>
        <v>25.066274443719774</v>
      </c>
      <c r="H53" s="307">
        <f t="shared" ca="1" si="12"/>
        <v>177.92466737918269</v>
      </c>
      <c r="I53" s="304">
        <f t="shared" ca="1" si="13"/>
        <v>179.68167790979879</v>
      </c>
      <c r="J53" s="306">
        <f t="shared" ca="1" si="14"/>
        <v>53.638124862970727</v>
      </c>
      <c r="K53" s="307">
        <f t="shared" ca="1" si="15"/>
        <v>432.42327971484985</v>
      </c>
      <c r="L53" s="304">
        <f t="shared" ca="1" si="0"/>
        <v>435.73723880127909</v>
      </c>
      <c r="M53" s="306">
        <f t="shared" ca="1" si="16"/>
        <v>1.4308360433569216</v>
      </c>
      <c r="N53" s="304">
        <f t="shared" ca="1" si="17"/>
        <v>81.980866459549276</v>
      </c>
      <c r="P53" s="310">
        <f t="shared" ca="1" si="18"/>
        <v>2</v>
      </c>
      <c r="Q53" s="304">
        <f t="shared" ca="1" si="19"/>
        <v>801.16666666666879</v>
      </c>
      <c r="R53" s="306">
        <f t="shared" ca="1" si="20"/>
        <v>0.40206822226648697</v>
      </c>
      <c r="S53" s="307">
        <f t="shared" ca="1" si="21"/>
        <v>6.4868635346846721</v>
      </c>
      <c r="T53" s="304">
        <f t="shared" ca="1" si="1"/>
        <v>63.636131275256638</v>
      </c>
      <c r="U53" s="311">
        <f t="shared" ca="1" si="2"/>
        <v>0</v>
      </c>
      <c r="V53" s="306">
        <f t="shared" ca="1" si="3"/>
        <v>1.1731492224002043</v>
      </c>
      <c r="W53" s="304">
        <f t="shared" ca="1" si="4"/>
        <v>62.701063907891744</v>
      </c>
      <c r="Y53" s="314" t="str">
        <f t="shared" ca="1" si="22"/>
        <v/>
      </c>
      <c r="Z53" s="315" t="str">
        <f t="shared" ca="1" si="23"/>
        <v/>
      </c>
      <c r="AA53" s="316" t="str">
        <f t="shared" ca="1" si="24"/>
        <v/>
      </c>
      <c r="AC53" s="310" t="e">
        <f t="shared" ca="1" si="25"/>
        <v>#N/A</v>
      </c>
      <c r="AD53" s="323" t="e">
        <f t="shared" ca="1" si="26"/>
        <v>#N/A</v>
      </c>
      <c r="AE53" s="324">
        <f t="shared" ca="1" si="5"/>
        <v>432.42327971484985</v>
      </c>
      <c r="AG53" s="306">
        <f t="shared" ca="1" si="27"/>
        <v>104.23611070869659</v>
      </c>
      <c r="AH53" s="304">
        <f t="shared" ca="1" si="28"/>
        <v>113.95028814136343</v>
      </c>
    </row>
    <row r="54" spans="1:34" x14ac:dyDescent="0.2">
      <c r="A54" s="347">
        <f t="shared" ca="1" si="6"/>
        <v>0.01</v>
      </c>
      <c r="B54" s="304">
        <f t="shared" ca="1" si="7"/>
        <v>4.4999999999999893</v>
      </c>
      <c r="D54" s="306">
        <f t="shared" ca="1" si="8"/>
        <v>15.845528619797889</v>
      </c>
      <c r="E54" s="307">
        <f t="shared" ca="1" si="9"/>
        <v>102.66424963190819</v>
      </c>
      <c r="F54" s="304">
        <f t="shared" ca="1" si="10"/>
        <v>103.87987740522027</v>
      </c>
      <c r="G54" s="306">
        <f t="shared" ca="1" si="11"/>
        <v>25.224729729917751</v>
      </c>
      <c r="H54" s="307">
        <f t="shared" ca="1" si="12"/>
        <v>178.95130987550178</v>
      </c>
      <c r="I54" s="304">
        <f t="shared" ca="1" si="13"/>
        <v>180.72038705166958</v>
      </c>
      <c r="J54" s="306">
        <f t="shared" ca="1" si="14"/>
        <v>53.889579883838913</v>
      </c>
      <c r="K54" s="307">
        <f t="shared" ca="1" si="15"/>
        <v>434.20765960112328</v>
      </c>
      <c r="L54" s="304">
        <f t="shared" ca="1" si="0"/>
        <v>437.53900223447692</v>
      </c>
      <c r="M54" s="306">
        <f t="shared" ca="1" si="16"/>
        <v>1.4307603168619878</v>
      </c>
      <c r="N54" s="304">
        <f t="shared" ca="1" si="17"/>
        <v>81.976527650992253</v>
      </c>
      <c r="P54" s="310">
        <f t="shared" ca="1" si="18"/>
        <v>2</v>
      </c>
      <c r="Q54" s="304">
        <f t="shared" ca="1" si="19"/>
        <v>799.05555555555782</v>
      </c>
      <c r="R54" s="306">
        <f t="shared" ca="1" si="20"/>
        <v>0.40100875396011948</v>
      </c>
      <c r="S54" s="307">
        <f t="shared" ca="1" si="21"/>
        <v>6.4828534471450707</v>
      </c>
      <c r="T54" s="304">
        <f t="shared" ca="1" si="1"/>
        <v>63.596792316493151</v>
      </c>
      <c r="U54" s="311">
        <f t="shared" ca="1" si="2"/>
        <v>0</v>
      </c>
      <c r="V54" s="306">
        <f t="shared" ca="1" si="3"/>
        <v>1.1729398083965874</v>
      </c>
      <c r="W54" s="304">
        <f t="shared" ca="1" si="4"/>
        <v>63.416765284627374</v>
      </c>
      <c r="Y54" s="314" t="str">
        <f t="shared" ca="1" si="22"/>
        <v/>
      </c>
      <c r="Z54" s="315" t="str">
        <f t="shared" ca="1" si="23"/>
        <v/>
      </c>
      <c r="AA54" s="316" t="str">
        <f t="shared" ca="1" si="24"/>
        <v/>
      </c>
      <c r="AC54" s="310" t="e">
        <f t="shared" ca="1" si="25"/>
        <v>#N/A</v>
      </c>
      <c r="AD54" s="323" t="e">
        <f t="shared" ca="1" si="26"/>
        <v>#N/A</v>
      </c>
      <c r="AE54" s="324">
        <f t="shared" ca="1" si="5"/>
        <v>434.20765960112328</v>
      </c>
      <c r="AG54" s="306">
        <f t="shared" ca="1" si="27"/>
        <v>103.8708623700052</v>
      </c>
      <c r="AH54" s="304">
        <f t="shared" ca="1" si="28"/>
        <v>113.58493565390454</v>
      </c>
    </row>
    <row r="55" spans="1:34" x14ac:dyDescent="0.2">
      <c r="A55" s="347">
        <f t="shared" ca="1" si="6"/>
        <v>0.01</v>
      </c>
      <c r="B55" s="304">
        <f t="shared" ca="1" si="7"/>
        <v>4.5099999999999891</v>
      </c>
      <c r="D55" s="306">
        <f t="shared" ca="1" si="8"/>
        <v>15.812968180421299</v>
      </c>
      <c r="E55" s="307">
        <f t="shared" ca="1" si="9"/>
        <v>102.37163283429759</v>
      </c>
      <c r="F55" s="304">
        <f t="shared" ca="1" si="10"/>
        <v>103.5857189569839</v>
      </c>
      <c r="G55" s="306">
        <f t="shared" ca="1" si="11"/>
        <v>25.382859411721963</v>
      </c>
      <c r="H55" s="307">
        <f t="shared" ca="1" si="12"/>
        <v>179.97502620384475</v>
      </c>
      <c r="I55" s="304">
        <f t="shared" ca="1" si="13"/>
        <v>181.7561542534113</v>
      </c>
      <c r="J55" s="306">
        <f t="shared" ca="1" si="14"/>
        <v>54.142617829547113</v>
      </c>
      <c r="K55" s="307">
        <f t="shared" ca="1" si="15"/>
        <v>436.00229128152</v>
      </c>
      <c r="L55" s="304">
        <f t="shared" ca="1" si="0"/>
        <v>439.35113641388455</v>
      </c>
      <c r="M55" s="306">
        <f t="shared" ca="1" si="16"/>
        <v>1.4306849814345926</v>
      </c>
      <c r="N55" s="304">
        <f t="shared" ca="1" si="17"/>
        <v>81.972211248954693</v>
      </c>
      <c r="P55" s="310">
        <f t="shared" ca="1" si="18"/>
        <v>3</v>
      </c>
      <c r="Q55" s="304">
        <f t="shared" ca="1" si="19"/>
        <v>797.41000000000122</v>
      </c>
      <c r="R55" s="306">
        <f t="shared" ca="1" si="20"/>
        <v>0.40018292629605035</v>
      </c>
      <c r="S55" s="307">
        <f t="shared" ca="1" si="21"/>
        <v>6.4788516178821105</v>
      </c>
      <c r="T55" s="304">
        <f t="shared" ca="1" si="1"/>
        <v>63.557534371423507</v>
      </c>
      <c r="U55" s="311">
        <f t="shared" ca="1" si="2"/>
        <v>0</v>
      </c>
      <c r="V55" s="306">
        <f t="shared" ca="1" si="3"/>
        <v>1.1727292281330659</v>
      </c>
      <c r="W55" s="304">
        <f t="shared" ca="1" si="4"/>
        <v>64.134256318090735</v>
      </c>
      <c r="Y55" s="314" t="str">
        <f t="shared" ca="1" si="22"/>
        <v/>
      </c>
      <c r="Z55" s="315" t="str">
        <f t="shared" ca="1" si="23"/>
        <v/>
      </c>
      <c r="AA55" s="316" t="str">
        <f t="shared" ca="1" si="24"/>
        <v/>
      </c>
      <c r="AC55" s="310" t="e">
        <f t="shared" ca="1" si="25"/>
        <v>#N/A</v>
      </c>
      <c r="AD55" s="323" t="e">
        <f t="shared" ca="1" si="26"/>
        <v>#N/A</v>
      </c>
      <c r="AE55" s="324">
        <f t="shared" ca="1" si="5"/>
        <v>436.00229128152</v>
      </c>
      <c r="AG55" s="306">
        <f t="shared" ca="1" si="27"/>
        <v>103.57666859698921</v>
      </c>
      <c r="AH55" s="304">
        <f t="shared" ca="1" si="28"/>
        <v>113.29063821889332</v>
      </c>
    </row>
    <row r="56" spans="1:34" x14ac:dyDescent="0.2">
      <c r="A56" s="347">
        <f t="shared" ca="1" si="6"/>
        <v>0.01</v>
      </c>
      <c r="B56" s="304">
        <f t="shared" ca="1" si="7"/>
        <v>4.5199999999999889</v>
      </c>
      <c r="D56" s="306">
        <f t="shared" ca="1" si="8"/>
        <v>15.790257288488881</v>
      </c>
      <c r="E56" s="307">
        <f t="shared" ca="1" si="9"/>
        <v>102.14948900654001</v>
      </c>
      <c r="F56" s="304">
        <f t="shared" ca="1" si="10"/>
        <v>103.36271247182862</v>
      </c>
      <c r="G56" s="306">
        <f t="shared" ca="1" si="11"/>
        <v>25.540761984606853</v>
      </c>
      <c r="H56" s="307">
        <f t="shared" ca="1" si="12"/>
        <v>180.99652109391016</v>
      </c>
      <c r="I56" s="304">
        <f t="shared" ca="1" si="13"/>
        <v>182.78969109567586</v>
      </c>
      <c r="J56" s="306">
        <f t="shared" ca="1" si="14"/>
        <v>54.397235936528759</v>
      </c>
      <c r="K56" s="307">
        <f t="shared" ca="1" si="15"/>
        <v>437.80714901800877</v>
      </c>
      <c r="L56" s="304">
        <f t="shared" ca="1" si="0"/>
        <v>441.17361549486537</v>
      </c>
      <c r="M56" s="306">
        <f t="shared" ca="1" si="16"/>
        <v>1.4306100319366106</v>
      </c>
      <c r="N56" s="304">
        <f t="shared" ca="1" si="17"/>
        <v>81.967916959043706</v>
      </c>
      <c r="P56" s="310">
        <f t="shared" ca="1" si="18"/>
        <v>3</v>
      </c>
      <c r="Q56" s="304">
        <f t="shared" ca="1" si="19"/>
        <v>796.23000000000127</v>
      </c>
      <c r="R56" s="306">
        <f t="shared" ca="1" si="20"/>
        <v>0.39959073927428074</v>
      </c>
      <c r="S56" s="307">
        <f t="shared" ca="1" si="21"/>
        <v>6.4748557104893676</v>
      </c>
      <c r="T56" s="304">
        <f t="shared" ca="1" si="1"/>
        <v>63.518334519900698</v>
      </c>
      <c r="U56" s="311">
        <f t="shared" ca="1" si="2"/>
        <v>0</v>
      </c>
      <c r="V56" s="306">
        <f t="shared" ca="1" si="3"/>
        <v>1.1725174852530276</v>
      </c>
      <c r="W56" s="304">
        <f t="shared" ca="1" si="4"/>
        <v>64.85400334742414</v>
      </c>
      <c r="Y56" s="314" t="str">
        <f t="shared" ca="1" si="22"/>
        <v/>
      </c>
      <c r="Z56" s="315" t="str">
        <f t="shared" ca="1" si="23"/>
        <v/>
      </c>
      <c r="AA56" s="316" t="str">
        <f t="shared" ca="1" si="24"/>
        <v/>
      </c>
      <c r="AC56" s="310" t="e">
        <f t="shared" ca="1" si="25"/>
        <v>#N/A</v>
      </c>
      <c r="AD56" s="323" t="e">
        <f t="shared" ca="1" si="26"/>
        <v>#N/A</v>
      </c>
      <c r="AE56" s="324">
        <f t="shared" ca="1" si="5"/>
        <v>437.80714901800877</v>
      </c>
      <c r="AG56" s="306">
        <f t="shared" ca="1" si="27"/>
        <v>103.35363288606472</v>
      </c>
      <c r="AH56" s="304">
        <f t="shared" ca="1" si="28"/>
        <v>113.06749932603194</v>
      </c>
    </row>
    <row r="57" spans="1:34" x14ac:dyDescent="0.2">
      <c r="A57" s="347">
        <f t="shared" ca="1" si="6"/>
        <v>0.01</v>
      </c>
      <c r="B57" s="304">
        <f t="shared" ca="1" si="7"/>
        <v>4.5299999999999887</v>
      </c>
      <c r="D57" s="306">
        <f t="shared" ca="1" si="8"/>
        <v>15.767368241860691</v>
      </c>
      <c r="E57" s="307">
        <f t="shared" ca="1" si="9"/>
        <v>101.92663496427271</v>
      </c>
      <c r="F57" s="304">
        <f t="shared" ca="1" si="10"/>
        <v>103.13897816254793</v>
      </c>
      <c r="G57" s="306">
        <f t="shared" ca="1" si="11"/>
        <v>25.698435667025461</v>
      </c>
      <c r="H57" s="307">
        <f t="shared" ca="1" si="12"/>
        <v>182.01578744355288</v>
      </c>
      <c r="I57" s="304">
        <f t="shared" ca="1" si="13"/>
        <v>183.82099029879279</v>
      </c>
      <c r="J57" s="306">
        <f t="shared" ca="1" si="14"/>
        <v>54.653431924786922</v>
      </c>
      <c r="K57" s="307">
        <f t="shared" ca="1" si="15"/>
        <v>439.62221056069609</v>
      </c>
      <c r="L57" s="304">
        <f t="shared" ca="1" si="0"/>
        <v>443.00641715378157</v>
      </c>
      <c r="M57" s="306">
        <f t="shared" ca="1" si="16"/>
        <v>1.4305354633249565</v>
      </c>
      <c r="N57" s="304">
        <f t="shared" ca="1" si="17"/>
        <v>81.963644492311772</v>
      </c>
      <c r="P57" s="310">
        <f t="shared" ca="1" si="18"/>
        <v>3</v>
      </c>
      <c r="Q57" s="304">
        <f t="shared" ca="1" si="19"/>
        <v>795.05000000000132</v>
      </c>
      <c r="R57" s="306">
        <f t="shared" ca="1" si="20"/>
        <v>0.39899855225251113</v>
      </c>
      <c r="S57" s="307">
        <f t="shared" ca="1" si="21"/>
        <v>6.4708657249668429</v>
      </c>
      <c r="T57" s="304">
        <f t="shared" ca="1" si="1"/>
        <v>63.479192761924729</v>
      </c>
      <c r="U57" s="311">
        <f t="shared" ca="1" si="2"/>
        <v>0</v>
      </c>
      <c r="V57" s="306">
        <f t="shared" ca="1" si="3"/>
        <v>1.1723045829918908</v>
      </c>
      <c r="W57" s="304">
        <f t="shared" ca="1" si="4"/>
        <v>65.575970943923849</v>
      </c>
      <c r="Y57" s="314" t="str">
        <f t="shared" ca="1" si="22"/>
        <v/>
      </c>
      <c r="Z57" s="315" t="str">
        <f t="shared" ca="1" si="23"/>
        <v/>
      </c>
      <c r="AA57" s="316" t="str">
        <f t="shared" ca="1" si="24"/>
        <v/>
      </c>
      <c r="AC57" s="310" t="e">
        <f t="shared" ca="1" si="25"/>
        <v>#N/A</v>
      </c>
      <c r="AD57" s="323" t="e">
        <f t="shared" ca="1" si="26"/>
        <v>#N/A</v>
      </c>
      <c r="AE57" s="324">
        <f t="shared" ca="1" si="5"/>
        <v>439.62221056069609</v>
      </c>
      <c r="AG57" s="306">
        <f t="shared" ca="1" si="27"/>
        <v>103.12986920506496</v>
      </c>
      <c r="AH57" s="304">
        <f t="shared" ca="1" si="28"/>
        <v>112.84363293696977</v>
      </c>
    </row>
    <row r="58" spans="1:34" x14ac:dyDescent="0.2">
      <c r="A58" s="347">
        <f t="shared" ca="1" si="6"/>
        <v>0.01</v>
      </c>
      <c r="B58" s="304">
        <f t="shared" ca="1" si="7"/>
        <v>4.5399999999999885</v>
      </c>
      <c r="D58" s="306">
        <f t="shared" ca="1" si="8"/>
        <v>15.744302363057066</v>
      </c>
      <c r="E58" s="307">
        <f t="shared" ca="1" si="9"/>
        <v>101.70307532848443</v>
      </c>
      <c r="F58" s="304">
        <f t="shared" ca="1" si="10"/>
        <v>102.91452078385606</v>
      </c>
      <c r="G58" s="306">
        <f t="shared" ca="1" si="11"/>
        <v>25.855878690656031</v>
      </c>
      <c r="H58" s="307">
        <f t="shared" ca="1" si="12"/>
        <v>183.03281819683772</v>
      </c>
      <c r="I58" s="304">
        <f t="shared" ca="1" si="13"/>
        <v>184.85004463062097</v>
      </c>
      <c r="J58" s="306">
        <f t="shared" ca="1" si="14"/>
        <v>54.911203496575332</v>
      </c>
      <c r="K58" s="307">
        <f t="shared" ca="1" si="15"/>
        <v>441.44745358889804</v>
      </c>
      <c r="L58" s="304">
        <f t="shared" ca="1" si="0"/>
        <v>444.84951899441745</v>
      </c>
      <c r="M58" s="306">
        <f t="shared" ca="1" si="16"/>
        <v>1.4304612706492266</v>
      </c>
      <c r="N58" s="304">
        <f t="shared" ca="1" si="17"/>
        <v>81.959393565121658</v>
      </c>
      <c r="P58" s="310">
        <f t="shared" ca="1" si="18"/>
        <v>3</v>
      </c>
      <c r="Q58" s="304">
        <f t="shared" ca="1" si="19"/>
        <v>793.87000000000137</v>
      </c>
      <c r="R58" s="306">
        <f t="shared" ca="1" si="20"/>
        <v>0.39840636523074147</v>
      </c>
      <c r="S58" s="307">
        <f t="shared" ca="1" si="21"/>
        <v>6.4668816613145355</v>
      </c>
      <c r="T58" s="304">
        <f t="shared" ca="1" si="1"/>
        <v>63.440109097495593</v>
      </c>
      <c r="U58" s="311">
        <f t="shared" ca="1" si="2"/>
        <v>0</v>
      </c>
      <c r="V58" s="306">
        <f t="shared" ca="1" si="3"/>
        <v>1.1720905245947781</v>
      </c>
      <c r="W58" s="304">
        <f t="shared" ca="1" si="4"/>
        <v>66.3001236713244</v>
      </c>
      <c r="Y58" s="314" t="str">
        <f t="shared" ca="1" si="22"/>
        <v/>
      </c>
      <c r="Z58" s="315" t="str">
        <f t="shared" ca="1" si="23"/>
        <v/>
      </c>
      <c r="AA58" s="316" t="str">
        <f t="shared" ca="1" si="24"/>
        <v/>
      </c>
      <c r="AC58" s="310" t="e">
        <f t="shared" ca="1" si="25"/>
        <v>#N/A</v>
      </c>
      <c r="AD58" s="323" t="e">
        <f t="shared" ca="1" si="26"/>
        <v>#N/A</v>
      </c>
      <c r="AE58" s="324">
        <f t="shared" ca="1" si="5"/>
        <v>441.44745358889804</v>
      </c>
      <c r="AG58" s="306">
        <f t="shared" ca="1" si="27"/>
        <v>102.90538230697649</v>
      </c>
      <c r="AH58" s="304">
        <f t="shared" ca="1" si="28"/>
        <v>112.61904379862052</v>
      </c>
    </row>
    <row r="59" spans="1:34" x14ac:dyDescent="0.2">
      <c r="A59" s="347">
        <f t="shared" ca="1" si="6"/>
        <v>0.01</v>
      </c>
      <c r="B59" s="304">
        <f t="shared" ca="1" si="7"/>
        <v>4.5499999999999883</v>
      </c>
      <c r="D59" s="306">
        <f t="shared" ca="1" si="8"/>
        <v>15.721060965167919</v>
      </c>
      <c r="E59" s="307">
        <f t="shared" ca="1" si="9"/>
        <v>101.478814738246</v>
      </c>
      <c r="F59" s="304">
        <f t="shared" ca="1" si="10"/>
        <v>102.68934510722025</v>
      </c>
      <c r="G59" s="306">
        <f t="shared" ca="1" si="11"/>
        <v>26.013089300307708</v>
      </c>
      <c r="H59" s="307">
        <f t="shared" ca="1" si="12"/>
        <v>184.04760634422018</v>
      </c>
      <c r="I59" s="304">
        <f t="shared" ca="1" si="13"/>
        <v>185.87684690671625</v>
      </c>
      <c r="J59" s="306">
        <f t="shared" ca="1" si="14"/>
        <v>55.170548336530153</v>
      </c>
      <c r="K59" s="307">
        <f t="shared" ca="1" si="15"/>
        <v>443.28285571160336</v>
      </c>
      <c r="L59" s="304">
        <f t="shared" ca="1" si="0"/>
        <v>446.70289854845083</v>
      </c>
      <c r="M59" s="306">
        <f t="shared" ca="1" si="16"/>
        <v>1.4303874490494104</v>
      </c>
      <c r="N59" s="304">
        <f t="shared" ca="1" si="17"/>
        <v>81.95516389901529</v>
      </c>
      <c r="P59" s="310">
        <f t="shared" ca="1" si="18"/>
        <v>3</v>
      </c>
      <c r="Q59" s="304">
        <f t="shared" ca="1" si="19"/>
        <v>792.69000000000142</v>
      </c>
      <c r="R59" s="306">
        <f t="shared" ca="1" si="20"/>
        <v>0.39781417820897186</v>
      </c>
      <c r="S59" s="307">
        <f t="shared" ca="1" si="21"/>
        <v>6.4629035195324454</v>
      </c>
      <c r="T59" s="304">
        <f t="shared" ca="1" si="1"/>
        <v>63.401083526613291</v>
      </c>
      <c r="U59" s="311">
        <f t="shared" ca="1" si="2"/>
        <v>0</v>
      </c>
      <c r="V59" s="306">
        <f t="shared" ca="1" si="3"/>
        <v>1.1718753133164226</v>
      </c>
      <c r="W59" s="304">
        <f t="shared" ca="1" si="4"/>
        <v>67.026426087933118</v>
      </c>
      <c r="Y59" s="314" t="str">
        <f t="shared" ca="1" si="22"/>
        <v/>
      </c>
      <c r="Z59" s="315" t="str">
        <f t="shared" ca="1" si="23"/>
        <v/>
      </c>
      <c r="AA59" s="316" t="str">
        <f t="shared" ca="1" si="24"/>
        <v/>
      </c>
      <c r="AC59" s="310" t="e">
        <f t="shared" ca="1" si="25"/>
        <v>#N/A</v>
      </c>
      <c r="AD59" s="323" t="e">
        <f t="shared" ca="1" si="26"/>
        <v>#N/A</v>
      </c>
      <c r="AE59" s="324">
        <f t="shared" ca="1" si="5"/>
        <v>443.28285571160336</v>
      </c>
      <c r="AG59" s="306">
        <f t="shared" ca="1" si="27"/>
        <v>102.68017696153468</v>
      </c>
      <c r="AH59" s="304">
        <f t="shared" ca="1" si="28"/>
        <v>112.393736674755</v>
      </c>
    </row>
    <row r="60" spans="1:34" x14ac:dyDescent="0.2">
      <c r="A60" s="347">
        <f t="shared" ca="1" si="6"/>
        <v>0.01</v>
      </c>
      <c r="B60" s="304">
        <f t="shared" ca="1" si="7"/>
        <v>4.5599999999999881</v>
      </c>
      <c r="D60" s="306">
        <f t="shared" ca="1" si="8"/>
        <v>15.697645352118899</v>
      </c>
      <c r="E60" s="307">
        <f t="shared" ca="1" si="9"/>
        <v>101.25385785035472</v>
      </c>
      <c r="F60" s="304">
        <f t="shared" ca="1" si="10"/>
        <v>102.46345592054145</v>
      </c>
      <c r="G60" s="306">
        <f t="shared" ca="1" si="11"/>
        <v>26.170065753828897</v>
      </c>
      <c r="H60" s="307">
        <f t="shared" ca="1" si="12"/>
        <v>185.06014492272374</v>
      </c>
      <c r="I60" s="304">
        <f t="shared" ca="1" si="13"/>
        <v>186.90138999049535</v>
      </c>
      <c r="J60" s="306">
        <f t="shared" ca="1" si="14"/>
        <v>55.431464111800835</v>
      </c>
      <c r="K60" s="307">
        <f t="shared" ca="1" si="15"/>
        <v>445.12839446793811</v>
      </c>
      <c r="L60" s="304">
        <f t="shared" ca="1" si="0"/>
        <v>448.56653327592574</v>
      </c>
      <c r="M60" s="306">
        <f t="shared" ca="1" si="16"/>
        <v>1.4303139937536749</v>
      </c>
      <c r="N60" s="304">
        <f t="shared" ca="1" si="17"/>
        <v>81.950955220586764</v>
      </c>
      <c r="P60" s="310">
        <f t="shared" ca="1" si="18"/>
        <v>3</v>
      </c>
      <c r="Q60" s="304">
        <f t="shared" ca="1" si="19"/>
        <v>791.51000000000136</v>
      </c>
      <c r="R60" s="306">
        <f t="shared" ca="1" si="20"/>
        <v>0.39722199118720214</v>
      </c>
      <c r="S60" s="307">
        <f t="shared" ca="1" si="21"/>
        <v>6.4589312996205734</v>
      </c>
      <c r="T60" s="304">
        <f t="shared" ca="1" si="1"/>
        <v>63.36211604927783</v>
      </c>
      <c r="U60" s="311">
        <f t="shared" ca="1" si="2"/>
        <v>0</v>
      </c>
      <c r="V60" s="306">
        <f t="shared" ca="1" si="3"/>
        <v>1.1716589524210799</v>
      </c>
      <c r="W60" s="304">
        <f t="shared" ca="1" si="4"/>
        <v>67.754842748758762</v>
      </c>
      <c r="Y60" s="314" t="str">
        <f t="shared" ca="1" si="22"/>
        <v/>
      </c>
      <c r="Z60" s="315" t="str">
        <f t="shared" ca="1" si="23"/>
        <v/>
      </c>
      <c r="AA60" s="316" t="str">
        <f t="shared" ca="1" si="24"/>
        <v/>
      </c>
      <c r="AC60" s="310" t="e">
        <f t="shared" ca="1" si="25"/>
        <v>#N/A</v>
      </c>
      <c r="AD60" s="323" t="e">
        <f t="shared" ca="1" si="26"/>
        <v>#N/A</v>
      </c>
      <c r="AE60" s="324">
        <f t="shared" ca="1" si="5"/>
        <v>445.12839446793811</v>
      </c>
      <c r="AG60" s="306">
        <f t="shared" ca="1" si="27"/>
        <v>102.45425795490421</v>
      </c>
      <c r="AH60" s="304">
        <f t="shared" ca="1" si="28"/>
        <v>112.16771634567898</v>
      </c>
    </row>
    <row r="61" spans="1:34" x14ac:dyDescent="0.2">
      <c r="A61" s="347">
        <f t="shared" ca="1" si="6"/>
        <v>0.01</v>
      </c>
      <c r="B61" s="304">
        <f t="shared" ca="1" si="7"/>
        <v>4.5699999999999878</v>
      </c>
      <c r="D61" s="306">
        <f t="shared" ca="1" si="8"/>
        <v>15.674056818927584</v>
      </c>
      <c r="E61" s="307">
        <f t="shared" ca="1" si="9"/>
        <v>101.02820933897945</v>
      </c>
      <c r="F61" s="304">
        <f t="shared" ca="1" si="10"/>
        <v>102.23685802783469</v>
      </c>
      <c r="G61" s="306">
        <f t="shared" ca="1" si="11"/>
        <v>26.326806322018172</v>
      </c>
      <c r="H61" s="307">
        <f t="shared" ca="1" si="12"/>
        <v>186.07042701611354</v>
      </c>
      <c r="I61" s="304">
        <f t="shared" ca="1" si="13"/>
        <v>187.9236667933975</v>
      </c>
      <c r="J61" s="306">
        <f t="shared" ca="1" si="14"/>
        <v>55.693948472180068</v>
      </c>
      <c r="K61" s="307">
        <f t="shared" ca="1" si="15"/>
        <v>446.98404732763231</v>
      </c>
      <c r="L61" s="304">
        <f t="shared" ca="1" si="0"/>
        <v>450.44040056572732</v>
      </c>
      <c r="M61" s="306">
        <f t="shared" ca="1" si="16"/>
        <v>1.4302409000762157</v>
      </c>
      <c r="N61" s="304">
        <f t="shared" ca="1" si="17"/>
        <v>81.94676726135927</v>
      </c>
      <c r="P61" s="310">
        <f t="shared" ca="1" si="18"/>
        <v>3</v>
      </c>
      <c r="Q61" s="304">
        <f t="shared" ca="1" si="19"/>
        <v>790.33000000000141</v>
      </c>
      <c r="R61" s="306">
        <f t="shared" ca="1" si="20"/>
        <v>0.39662980416543253</v>
      </c>
      <c r="S61" s="307">
        <f t="shared" ca="1" si="21"/>
        <v>6.4549650015789188</v>
      </c>
      <c r="T61" s="304">
        <f t="shared" ca="1" si="1"/>
        <v>63.323206665489195</v>
      </c>
      <c r="U61" s="311">
        <f t="shared" ca="1" si="2"/>
        <v>0</v>
      </c>
      <c r="V61" s="306">
        <f t="shared" ca="1" si="3"/>
        <v>1.171441445182434</v>
      </c>
      <c r="W61" s="304">
        <f t="shared" ca="1" si="4"/>
        <v>68.485338207634356</v>
      </c>
      <c r="Y61" s="314" t="str">
        <f t="shared" ca="1" si="22"/>
        <v/>
      </c>
      <c r="Z61" s="315" t="str">
        <f t="shared" ca="1" si="23"/>
        <v/>
      </c>
      <c r="AA61" s="316" t="str">
        <f t="shared" ca="1" si="24"/>
        <v/>
      </c>
      <c r="AC61" s="310" t="e">
        <f t="shared" ca="1" si="25"/>
        <v>#N/A</v>
      </c>
      <c r="AD61" s="323" t="e">
        <f t="shared" ca="1" si="26"/>
        <v>#N/A</v>
      </c>
      <c r="AE61" s="324">
        <f t="shared" ca="1" si="5"/>
        <v>446.98404732763231</v>
      </c>
      <c r="AG61" s="306">
        <f t="shared" ca="1" si="27"/>
        <v>102.22763008935905</v>
      </c>
      <c r="AH61" s="304">
        <f t="shared" ca="1" si="28"/>
        <v>111.94098760791064</v>
      </c>
    </row>
    <row r="62" spans="1:34" x14ac:dyDescent="0.2">
      <c r="A62" s="347">
        <f t="shared" ca="1" si="6"/>
        <v>0.01</v>
      </c>
      <c r="B62" s="304">
        <f t="shared" ca="1" si="7"/>
        <v>4.5799999999999876</v>
      </c>
      <c r="D62" s="306">
        <f t="shared" ca="1" si="8"/>
        <v>15.650296651950169</v>
      </c>
      <c r="E62" s="307">
        <f t="shared" ca="1" si="9"/>
        <v>100.80187389530609</v>
      </c>
      <c r="F62" s="304">
        <f t="shared" ca="1" si="10"/>
        <v>102.00955624890852</v>
      </c>
      <c r="G62" s="306">
        <f t="shared" ca="1" si="11"/>
        <v>26.483309288537672</v>
      </c>
      <c r="H62" s="307">
        <f t="shared" ca="1" si="12"/>
        <v>187.07844575506661</v>
      </c>
      <c r="I62" s="304">
        <f t="shared" ca="1" si="13"/>
        <v>188.94367027504188</v>
      </c>
      <c r="J62" s="306">
        <f t="shared" ca="1" si="14"/>
        <v>55.95799905023285</v>
      </c>
      <c r="K62" s="307">
        <f t="shared" ca="1" si="15"/>
        <v>448.84979169148824</v>
      </c>
      <c r="L62" s="304">
        <f t="shared" ca="1" si="0"/>
        <v>452.32447773605872</v>
      </c>
      <c r="M62" s="306">
        <f t="shared" ca="1" si="16"/>
        <v>1.4301681634151731</v>
      </c>
      <c r="N62" s="304">
        <f t="shared" ca="1" si="17"/>
        <v>81.942599757665647</v>
      </c>
      <c r="P62" s="310">
        <f t="shared" ca="1" si="18"/>
        <v>3</v>
      </c>
      <c r="Q62" s="304">
        <f t="shared" ca="1" si="19"/>
        <v>789.15000000000146</v>
      </c>
      <c r="R62" s="306">
        <f t="shared" ca="1" si="20"/>
        <v>0.39603761714366292</v>
      </c>
      <c r="S62" s="307">
        <f t="shared" ca="1" si="21"/>
        <v>6.4510046254074824</v>
      </c>
      <c r="T62" s="304">
        <f t="shared" ca="1" si="1"/>
        <v>63.284355375247408</v>
      </c>
      <c r="U62" s="311">
        <f t="shared" ca="1" si="2"/>
        <v>0</v>
      </c>
      <c r="V62" s="306">
        <f t="shared" ca="1" si="3"/>
        <v>1.171222794883507</v>
      </c>
      <c r="W62" s="304">
        <f t="shared" ca="1" si="4"/>
        <v>69.217877019333187</v>
      </c>
      <c r="Y62" s="314" t="str">
        <f t="shared" ca="1" si="22"/>
        <v/>
      </c>
      <c r="Z62" s="315" t="str">
        <f t="shared" ca="1" si="23"/>
        <v/>
      </c>
      <c r="AA62" s="316" t="str">
        <f t="shared" ca="1" si="24"/>
        <v/>
      </c>
      <c r="AC62" s="310" t="e">
        <f t="shared" ca="1" si="25"/>
        <v>#N/A</v>
      </c>
      <c r="AD62" s="323" t="e">
        <f t="shared" ca="1" si="26"/>
        <v>#N/A</v>
      </c>
      <c r="AE62" s="324">
        <f t="shared" ca="1" si="5"/>
        <v>448.84979169148824</v>
      </c>
      <c r="AG62" s="306">
        <f t="shared" ca="1" si="27"/>
        <v>102.00029818296154</v>
      </c>
      <c r="AH62" s="304">
        <f t="shared" ca="1" si="28"/>
        <v>111.71355527385717</v>
      </c>
    </row>
    <row r="63" spans="1:34" x14ac:dyDescent="0.2">
      <c r="A63" s="347">
        <f t="shared" ca="1" si="6"/>
        <v>0.01</v>
      </c>
      <c r="B63" s="304">
        <f t="shared" ca="1" si="7"/>
        <v>4.5899999999999874</v>
      </c>
      <c r="D63" s="306">
        <f t="shared" ca="1" si="8"/>
        <v>15.626366129119415</v>
      </c>
      <c r="E63" s="307">
        <f t="shared" ca="1" si="9"/>
        <v>100.574856227184</v>
      </c>
      <c r="F63" s="304">
        <f t="shared" ca="1" si="10"/>
        <v>101.78155541904448</v>
      </c>
      <c r="G63" s="306">
        <f t="shared" ca="1" si="11"/>
        <v>26.639572949828867</v>
      </c>
      <c r="H63" s="307">
        <f t="shared" ca="1" si="12"/>
        <v>188.08419431733844</v>
      </c>
      <c r="I63" s="304">
        <f t="shared" ca="1" si="13"/>
        <v>189.96139344338252</v>
      </c>
      <c r="J63" s="306">
        <f t="shared" ca="1" si="14"/>
        <v>56.223613461424684</v>
      </c>
      <c r="K63" s="307">
        <f t="shared" ca="1" si="15"/>
        <v>450.72560489185025</v>
      </c>
      <c r="L63" s="304">
        <f t="shared" ca="1" si="0"/>
        <v>454.21874203491871</v>
      </c>
      <c r="M63" s="306">
        <f t="shared" ca="1" si="16"/>
        <v>1.4300957792506113</v>
      </c>
      <c r="N63" s="304">
        <f t="shared" ca="1" si="17"/>
        <v>81.938452450532679</v>
      </c>
      <c r="P63" s="310">
        <f t="shared" ca="1" si="18"/>
        <v>3</v>
      </c>
      <c r="Q63" s="304">
        <f t="shared" ca="1" si="19"/>
        <v>787.97000000000151</v>
      </c>
      <c r="R63" s="306">
        <f t="shared" ca="1" si="20"/>
        <v>0.39544543012189326</v>
      </c>
      <c r="S63" s="307">
        <f t="shared" ca="1" si="21"/>
        <v>6.4470501711062633</v>
      </c>
      <c r="T63" s="304">
        <f t="shared" ca="1" si="1"/>
        <v>63.245562178552447</v>
      </c>
      <c r="U63" s="311">
        <f t="shared" ca="1" si="2"/>
        <v>0</v>
      </c>
      <c r="V63" s="306">
        <f t="shared" ca="1" si="3"/>
        <v>1.1710030048165683</v>
      </c>
      <c r="W63" s="304">
        <f t="shared" ca="1" si="4"/>
        <v>69.95242374167897</v>
      </c>
      <c r="Y63" s="314" t="str">
        <f t="shared" ca="1" si="22"/>
        <v/>
      </c>
      <c r="Z63" s="315" t="str">
        <f t="shared" ca="1" si="23"/>
        <v/>
      </c>
      <c r="AA63" s="316" t="str">
        <f t="shared" ca="1" si="24"/>
        <v/>
      </c>
      <c r="AC63" s="310" t="e">
        <f t="shared" ca="1" si="25"/>
        <v>#N/A</v>
      </c>
      <c r="AD63" s="323" t="e">
        <f t="shared" ca="1" si="26"/>
        <v>#N/A</v>
      </c>
      <c r="AE63" s="324">
        <f t="shared" ca="1" si="5"/>
        <v>450.72560489185025</v>
      </c>
      <c r="AG63" s="306">
        <f t="shared" ca="1" si="27"/>
        <v>101.77226706924147</v>
      </c>
      <c r="AH63" s="304">
        <f t="shared" ca="1" si="28"/>
        <v>111.48542417149146</v>
      </c>
    </row>
    <row r="64" spans="1:34" x14ac:dyDescent="0.2">
      <c r="A64" s="347">
        <f t="shared" ca="1" si="6"/>
        <v>0.01</v>
      </c>
      <c r="B64" s="304">
        <f t="shared" ca="1" si="7"/>
        <v>4.5999999999999872</v>
      </c>
      <c r="D64" s="306">
        <f t="shared" ca="1" si="8"/>
        <v>15.602266520173531</v>
      </c>
      <c r="E64" s="307">
        <f t="shared" ca="1" si="9"/>
        <v>100.34716105877258</v>
      </c>
      <c r="F64" s="304">
        <f t="shared" ca="1" si="10"/>
        <v>101.55286038867528</v>
      </c>
      <c r="G64" s="306">
        <f t="shared" ca="1" si="11"/>
        <v>26.795595615030603</v>
      </c>
      <c r="H64" s="307">
        <f t="shared" ca="1" si="12"/>
        <v>189.08766592792617</v>
      </c>
      <c r="I64" s="304">
        <f t="shared" ca="1" si="13"/>
        <v>190.97682935485983</v>
      </c>
      <c r="J64" s="306">
        <f t="shared" ca="1" si="14"/>
        <v>56.490789304248977</v>
      </c>
      <c r="K64" s="307">
        <f t="shared" ca="1" si="15"/>
        <v>452.61146419307659</v>
      </c>
      <c r="L64" s="304">
        <f t="shared" ca="1" si="0"/>
        <v>456.12317064058226</v>
      </c>
      <c r="M64" s="306">
        <f t="shared" ca="1" si="16"/>
        <v>1.4300237431425593</v>
      </c>
      <c r="N64" s="304">
        <f t="shared" ca="1" si="17"/>
        <v>81.934325085568744</v>
      </c>
      <c r="P64" s="310">
        <f t="shared" ca="1" si="18"/>
        <v>3</v>
      </c>
      <c r="Q64" s="304">
        <f t="shared" ca="1" si="19"/>
        <v>786.79000000000144</v>
      </c>
      <c r="R64" s="306">
        <f t="shared" ca="1" si="20"/>
        <v>0.3948532431001236</v>
      </c>
      <c r="S64" s="307">
        <f t="shared" ca="1" si="21"/>
        <v>6.4431016386752624</v>
      </c>
      <c r="T64" s="304">
        <f t="shared" ca="1" si="1"/>
        <v>63.206827075404327</v>
      </c>
      <c r="U64" s="311">
        <f t="shared" ca="1" si="2"/>
        <v>0</v>
      </c>
      <c r="V64" s="306">
        <f t="shared" ca="1" si="3"/>
        <v>1.1707820782830392</v>
      </c>
      <c r="W64" s="304">
        <f t="shared" ca="1" si="4"/>
        <v>70.68894293764869</v>
      </c>
      <c r="Y64" s="314" t="str">
        <f t="shared" ca="1" si="22"/>
        <v/>
      </c>
      <c r="Z64" s="315" t="str">
        <f t="shared" ca="1" si="23"/>
        <v/>
      </c>
      <c r="AA64" s="316" t="str">
        <f t="shared" ca="1" si="24"/>
        <v/>
      </c>
      <c r="AC64" s="310" t="e">
        <f t="shared" ca="1" si="25"/>
        <v>#N/A</v>
      </c>
      <c r="AD64" s="323" t="e">
        <f t="shared" ca="1" si="26"/>
        <v>#N/A</v>
      </c>
      <c r="AE64" s="324">
        <f t="shared" ca="1" si="5"/>
        <v>452.61146419307659</v>
      </c>
      <c r="AG64" s="306">
        <f t="shared" ca="1" si="27"/>
        <v>101.54354159687406</v>
      </c>
      <c r="AH64" s="304">
        <f t="shared" ca="1" si="28"/>
        <v>111.25659914402782</v>
      </c>
    </row>
    <row r="65" spans="1:34" x14ac:dyDescent="0.2">
      <c r="A65" s="347">
        <f t="shared" ca="1" si="6"/>
        <v>0.01</v>
      </c>
      <c r="B65" s="304">
        <f t="shared" ca="1" si="7"/>
        <v>4.609999999999987</v>
      </c>
      <c r="D65" s="306">
        <f t="shared" ca="1" si="8"/>
        <v>15.577999086876819</v>
      </c>
      <c r="E65" s="307">
        <f t="shared" ca="1" si="9"/>
        <v>100.11879313018918</v>
      </c>
      <c r="F65" s="304">
        <f t="shared" ca="1" si="10"/>
        <v>101.32347602306362</v>
      </c>
      <c r="G65" s="306">
        <f t="shared" ca="1" si="11"/>
        <v>26.951375605899372</v>
      </c>
      <c r="H65" s="307">
        <f t="shared" ca="1" si="12"/>
        <v>190.08885385922807</v>
      </c>
      <c r="I65" s="304">
        <f t="shared" ca="1" si="13"/>
        <v>191.98997111454867</v>
      </c>
      <c r="J65" s="306">
        <f t="shared" ca="1" si="14"/>
        <v>56.759524160353628</v>
      </c>
      <c r="K65" s="307">
        <f t="shared" ca="1" si="15"/>
        <v>454.50734679201236</v>
      </c>
      <c r="L65" s="304">
        <f t="shared" ca="1" si="0"/>
        <v>458.03774066208166</v>
      </c>
      <c r="M65" s="306">
        <f t="shared" ca="1" si="16"/>
        <v>1.4299520507291079</v>
      </c>
      <c r="N65" s="304">
        <f t="shared" ca="1" si="17"/>
        <v>81.930217412854873</v>
      </c>
      <c r="P65" s="310">
        <f t="shared" ca="1" si="18"/>
        <v>3</v>
      </c>
      <c r="Q65" s="304">
        <f t="shared" ca="1" si="19"/>
        <v>785.61000000000149</v>
      </c>
      <c r="R65" s="306">
        <f t="shared" ca="1" si="20"/>
        <v>0.39426105607835399</v>
      </c>
      <c r="S65" s="307">
        <f t="shared" ca="1" si="21"/>
        <v>6.4391590281144788</v>
      </c>
      <c r="T65" s="304">
        <f t="shared" ca="1" si="1"/>
        <v>63.16815006580304</v>
      </c>
      <c r="U65" s="311">
        <f t="shared" ca="1" si="2"/>
        <v>0</v>
      </c>
      <c r="V65" s="306">
        <f t="shared" ca="1" si="3"/>
        <v>1.1705600185934044</v>
      </c>
      <c r="W65" s="304">
        <f t="shared" ca="1" si="4"/>
        <v>71.427399177468871</v>
      </c>
      <c r="Y65" s="314" t="str">
        <f t="shared" ca="1" si="22"/>
        <v/>
      </c>
      <c r="Z65" s="315" t="str">
        <f t="shared" ca="1" si="23"/>
        <v/>
      </c>
      <c r="AA65" s="316" t="str">
        <f t="shared" ca="1" si="24"/>
        <v/>
      </c>
      <c r="AC65" s="310" t="e">
        <f t="shared" ca="1" si="25"/>
        <v>#N/A</v>
      </c>
      <c r="AD65" s="323" t="e">
        <f t="shared" ca="1" si="26"/>
        <v>#N/A</v>
      </c>
      <c r="AE65" s="324">
        <f t="shared" ca="1" si="5"/>
        <v>454.50734679201236</v>
      </c>
      <c r="AG65" s="306">
        <f t="shared" ca="1" si="27"/>
        <v>101.31412662935833</v>
      </c>
      <c r="AH65" s="304">
        <f t="shared" ca="1" si="28"/>
        <v>111.02708504959797</v>
      </c>
    </row>
    <row r="66" spans="1:34" x14ac:dyDescent="0.2">
      <c r="A66" s="347">
        <f t="shared" ca="1" si="6"/>
        <v>0.01</v>
      </c>
      <c r="B66" s="304">
        <f t="shared" ca="1" si="7"/>
        <v>4.6199999999999868</v>
      </c>
      <c r="D66" s="306">
        <f t="shared" ca="1" si="8"/>
        <v>15.553565083232268</v>
      </c>
      <c r="E66" s="307">
        <f t="shared" ca="1" si="9"/>
        <v>99.889757197156641</v>
      </c>
      <c r="F66" s="304">
        <f t="shared" ca="1" si="10"/>
        <v>101.09340720197953</v>
      </c>
      <c r="G66" s="306">
        <f t="shared" ca="1" si="11"/>
        <v>27.106911256731696</v>
      </c>
      <c r="H66" s="307">
        <f t="shared" ca="1" si="12"/>
        <v>191.08775143119962</v>
      </c>
      <c r="I66" s="304">
        <f t="shared" ca="1" si="13"/>
        <v>193.0008118763034</v>
      </c>
      <c r="J66" s="306">
        <f t="shared" ca="1" si="14"/>
        <v>57.029815594666786</v>
      </c>
      <c r="K66" s="307">
        <f t="shared" ca="1" si="15"/>
        <v>456.41322981846452</v>
      </c>
      <c r="L66" s="304">
        <f t="shared" ca="1" si="0"/>
        <v>459.96242913968985</v>
      </c>
      <c r="M66" s="306">
        <f t="shared" ca="1" si="16"/>
        <v>1.4298806977245655</v>
      </c>
      <c r="N66" s="304">
        <f t="shared" ca="1" si="17"/>
        <v>81.92612918683902</v>
      </c>
      <c r="P66" s="310">
        <f t="shared" ca="1" si="18"/>
        <v>3</v>
      </c>
      <c r="Q66" s="304">
        <f t="shared" ca="1" si="19"/>
        <v>784.43000000000154</v>
      </c>
      <c r="R66" s="306">
        <f t="shared" ca="1" si="20"/>
        <v>0.39366886905658433</v>
      </c>
      <c r="S66" s="307">
        <f t="shared" ca="1" si="21"/>
        <v>6.4352223394239134</v>
      </c>
      <c r="T66" s="304">
        <f t="shared" ca="1" si="1"/>
        <v>63.129531149748594</v>
      </c>
      <c r="U66" s="311">
        <f t="shared" ca="1" si="2"/>
        <v>0</v>
      </c>
      <c r="V66" s="306">
        <f t="shared" ca="1" si="3"/>
        <v>1.1703368290671181</v>
      </c>
      <c r="W66" s="304">
        <f t="shared" ca="1" si="4"/>
        <v>72.167757040704501</v>
      </c>
      <c r="Y66" s="314" t="str">
        <f t="shared" ca="1" si="22"/>
        <v/>
      </c>
      <c r="Z66" s="315" t="str">
        <f t="shared" ca="1" si="23"/>
        <v/>
      </c>
      <c r="AA66" s="316" t="str">
        <f t="shared" ca="1" si="24"/>
        <v/>
      </c>
      <c r="AC66" s="310" t="e">
        <f t="shared" ca="1" si="25"/>
        <v>#N/A</v>
      </c>
      <c r="AD66" s="323" t="e">
        <f t="shared" ca="1" si="26"/>
        <v>#N/A</v>
      </c>
      <c r="AE66" s="324">
        <f t="shared" ca="1" si="5"/>
        <v>456.41322981846452</v>
      </c>
      <c r="AG66" s="306">
        <f t="shared" ca="1" si="27"/>
        <v>101.08402704469411</v>
      </c>
      <c r="AH66" s="304">
        <f t="shared" ca="1" si="28"/>
        <v>110.79688676092601</v>
      </c>
    </row>
    <row r="67" spans="1:34" x14ac:dyDescent="0.2">
      <c r="A67" s="347">
        <f t="shared" ca="1" si="6"/>
        <v>0.01</v>
      </c>
      <c r="B67" s="304">
        <f t="shared" ca="1" si="7"/>
        <v>4.6299999999999866</v>
      </c>
      <c r="D67" s="306">
        <f t="shared" ca="1" si="8"/>
        <v>15.528965755686141</v>
      </c>
      <c r="E67" s="307">
        <f t="shared" ca="1" si="9"/>
        <v>99.660058030652465</v>
      </c>
      <c r="F67" s="304">
        <f t="shared" ca="1" si="10"/>
        <v>100.8626588193782</v>
      </c>
      <c r="G67" s="306">
        <f t="shared" ca="1" si="11"/>
        <v>27.262200914288556</v>
      </c>
      <c r="H67" s="307">
        <f t="shared" ca="1" si="12"/>
        <v>192.08435201150616</v>
      </c>
      <c r="I67" s="304">
        <f t="shared" ca="1" si="13"/>
        <v>194.00934484289991</v>
      </c>
      <c r="J67" s="306">
        <f t="shared" ca="1" si="14"/>
        <v>57.301661155521884</v>
      </c>
      <c r="K67" s="307">
        <f t="shared" ca="1" si="15"/>
        <v>458.32909033567802</v>
      </c>
      <c r="L67" s="304">
        <f t="shared" ca="1" si="0"/>
        <v>461.89721304540507</v>
      </c>
      <c r="M67" s="306">
        <f t="shared" ca="1" si="16"/>
        <v>1.4298096799176669</v>
      </c>
      <c r="N67" s="304">
        <f t="shared" ca="1" si="17"/>
        <v>81.92206016623345</v>
      </c>
      <c r="P67" s="310">
        <f t="shared" ca="1" si="18"/>
        <v>3</v>
      </c>
      <c r="Q67" s="304">
        <f t="shared" ca="1" si="19"/>
        <v>783.25000000000159</v>
      </c>
      <c r="R67" s="306">
        <f t="shared" ca="1" si="20"/>
        <v>0.39307668203481472</v>
      </c>
      <c r="S67" s="307">
        <f t="shared" ca="1" si="21"/>
        <v>6.4312915726035653</v>
      </c>
      <c r="T67" s="304">
        <f t="shared" ca="1" si="1"/>
        <v>63.090970327240981</v>
      </c>
      <c r="U67" s="311">
        <f t="shared" ca="1" si="2"/>
        <v>0</v>
      </c>
      <c r="V67" s="306">
        <f t="shared" ca="1" si="3"/>
        <v>1.1701125130325103</v>
      </c>
      <c r="W67" s="304">
        <f t="shared" ca="1" si="4"/>
        <v>72.909981118340795</v>
      </c>
      <c r="Y67" s="314" t="str">
        <f t="shared" ca="1" si="22"/>
        <v/>
      </c>
      <c r="Z67" s="315" t="str">
        <f t="shared" ca="1" si="23"/>
        <v/>
      </c>
      <c r="AA67" s="316" t="str">
        <f t="shared" ca="1" si="24"/>
        <v/>
      </c>
      <c r="AC67" s="310" t="e">
        <f t="shared" ca="1" si="25"/>
        <v>#N/A</v>
      </c>
      <c r="AD67" s="323" t="e">
        <f t="shared" ca="1" si="26"/>
        <v>#N/A</v>
      </c>
      <c r="AE67" s="324">
        <f t="shared" ca="1" si="5"/>
        <v>458.32909033567802</v>
      </c>
      <c r="AG67" s="306">
        <f t="shared" ca="1" si="27"/>
        <v>100.85324773505957</v>
      </c>
      <c r="AH67" s="304">
        <f t="shared" ca="1" si="28"/>
        <v>110.56600916500373</v>
      </c>
    </row>
    <row r="68" spans="1:34" x14ac:dyDescent="0.2">
      <c r="A68" s="347">
        <f t="shared" ca="1" si="6"/>
        <v>0.01</v>
      </c>
      <c r="B68" s="304">
        <f t="shared" ca="1" si="7"/>
        <v>4.6399999999999864</v>
      </c>
      <c r="D68" s="306">
        <f t="shared" ca="1" si="8"/>
        <v>15.504202343325181</v>
      </c>
      <c r="E68" s="307">
        <f t="shared" ca="1" si="9"/>
        <v>99.429700416557893</v>
      </c>
      <c r="F68" s="304">
        <f t="shared" ca="1" si="10"/>
        <v>100.63123578307693</v>
      </c>
      <c r="G68" s="306">
        <f t="shared" ca="1" si="11"/>
        <v>27.417242937721809</v>
      </c>
      <c r="H68" s="307">
        <f t="shared" ca="1" si="12"/>
        <v>193.07864901567174</v>
      </c>
      <c r="I68" s="304">
        <f t="shared" ca="1" si="13"/>
        <v>195.01556326617376</v>
      </c>
      <c r="J68" s="306">
        <f t="shared" ca="1" si="14"/>
        <v>57.575058374781939</v>
      </c>
      <c r="K68" s="307">
        <f t="shared" ca="1" si="15"/>
        <v>460.25490534081393</v>
      </c>
      <c r="L68" s="304">
        <f t="shared" ref="L68:L131" ca="1" si="29">SQRT(pos_x^2+pos_z^2)</f>
        <v>463.84206928343741</v>
      </c>
      <c r="M68" s="306">
        <f t="shared" ca="1" si="16"/>
        <v>1.4297389931698352</v>
      </c>
      <c r="N68" s="304">
        <f t="shared" ca="1" si="17"/>
        <v>81.918010113915187</v>
      </c>
      <c r="P68" s="310">
        <f t="shared" ca="1" si="18"/>
        <v>3</v>
      </c>
      <c r="Q68" s="304">
        <f t="shared" ca="1" si="19"/>
        <v>782.07000000000164</v>
      </c>
      <c r="R68" s="306">
        <f t="shared" ca="1" si="20"/>
        <v>0.39248449501304511</v>
      </c>
      <c r="S68" s="307">
        <f t="shared" ca="1" si="21"/>
        <v>6.4273667276534345</v>
      </c>
      <c r="T68" s="304">
        <f t="shared" ref="T68:T131" ca="1" si="30">m*g</f>
        <v>63.052467598280195</v>
      </c>
      <c r="U68" s="311">
        <f t="shared" ref="U68:U131" ca="1" si="31">IF(pos_xz&lt;L_rampe,Poids*COS(Beta),0)</f>
        <v>0</v>
      </c>
      <c r="V68" s="306">
        <f t="shared" ref="V68:V131" ca="1" si="32">Rho_moyen*(20000-Alt_rampe-pos_z)/(20000+Alt_rampe+pos_z)</f>
        <v>1.1698870738266978</v>
      </c>
      <c r="W68" s="304">
        <f t="shared" ref="W68:W131" ca="1" si="33">1/2*Rho*Sref*Cx*vit_xz^2</f>
        <v>73.65403601485724</v>
      </c>
      <c r="Y68" s="314" t="str">
        <f t="shared" ca="1" si="22"/>
        <v/>
      </c>
      <c r="Z68" s="315" t="str">
        <f t="shared" ca="1" si="23"/>
        <v/>
      </c>
      <c r="AA68" s="316" t="str">
        <f t="shared" ca="1" si="24"/>
        <v/>
      </c>
      <c r="AC68" s="310" t="e">
        <f t="shared" ca="1" si="25"/>
        <v>#N/A</v>
      </c>
      <c r="AD68" s="323" t="e">
        <f t="shared" ca="1" si="26"/>
        <v>#N/A</v>
      </c>
      <c r="AE68" s="324">
        <f t="shared" ref="AE68:AE131" ca="1" si="34">IF(t&lt;T_para, pos_z, NA())</f>
        <v>460.25490534081393</v>
      </c>
      <c r="AG68" s="306">
        <f t="shared" ca="1" si="27"/>
        <v>100.62179360648796</v>
      </c>
      <c r="AH68" s="304">
        <f t="shared" ca="1" si="28"/>
        <v>110.33445716276529</v>
      </c>
    </row>
    <row r="69" spans="1:34" x14ac:dyDescent="0.2">
      <c r="A69" s="347">
        <f t="shared" ref="A69:A132" ca="1" si="35">IF(B68+0.01&lt;=T_ini+ROUNDUP(Temps_fin_propu,0), 0.01, IF(K68&gt;0, 0.1, 0.0001))</f>
        <v>0.01</v>
      </c>
      <c r="B69" s="304">
        <f t="shared" ref="B69:B132" ca="1" si="36">B68+pas</f>
        <v>4.6499999999999861</v>
      </c>
      <c r="D69" s="306">
        <f t="shared" ref="D69:D132" ca="1" si="37">IF(AND(L68&lt;L_rampe,Poussee&lt;Poids*SIN(M68)),0,(-W68+Poussee)/m*COS(M68)-U68/m*SIN(M68))</f>
        <v>15.47927607806646</v>
      </c>
      <c r="E69" s="307">
        <f t="shared" ref="E69:E132" ca="1" si="38">IF(AND(L68&lt;L_rampe,Poussee&lt;Poids*SIN(M68)),0,(-W68+Poussee)/m*SIN(M68)+U68/m*COS(M68)-Poids/m)</f>
        <v>99.19868915530796</v>
      </c>
      <c r="F69" s="304">
        <f t="shared" ref="F69:F132" ca="1" si="39">SQRT(acc_x^2+acc_z^2)</f>
        <v>100.39914301443223</v>
      </c>
      <c r="G69" s="306">
        <f t="shared" ref="G69:G132" ca="1" si="40">G68+acc_x*pas</f>
        <v>27.572035698502475</v>
      </c>
      <c r="H69" s="307">
        <f t="shared" ref="H69:H132" ca="1" si="41">H68+acc_z*pas</f>
        <v>194.07063590722481</v>
      </c>
      <c r="I69" s="304">
        <f t="shared" ref="I69:I132" ca="1" si="42">SQRT(vit_x^2+vit_z^2)</f>
        <v>196.01946044715589</v>
      </c>
      <c r="J69" s="306">
        <f t="shared" ref="J69:J132" ca="1" si="43">J68+0.5*(vit_x+G68)*pas*(K68&gt;=0)</f>
        <v>57.850004767963064</v>
      </c>
      <c r="K69" s="307">
        <f t="shared" ref="K69:K132" ca="1" si="44">K68+0.5*(vit_z+H68)*pas</f>
        <v>462.19065176542841</v>
      </c>
      <c r="L69" s="304">
        <f t="shared" ca="1" si="29"/>
        <v>465.79697469069595</v>
      </c>
      <c r="M69" s="306">
        <f t="shared" ref="M69:M132" ca="1" si="45">IF(AND(L68&gt;L_rampe,G69&gt;0),ATAN2(G69,H69),$M$4)</f>
        <v>1.4296686334134934</v>
      </c>
      <c r="N69" s="304">
        <f t="shared" ref="N69:N132" ca="1" si="46">DEGREES(Beta)</f>
        <v>81.913978796829241</v>
      </c>
      <c r="P69" s="310">
        <f t="shared" ref="P69:P132" ca="1" si="47">MATCH(t-pas/2-T_ini,CdP_t)</f>
        <v>3</v>
      </c>
      <c r="Q69" s="304">
        <f t="shared" ref="Q69:Q132" ca="1" si="48">(INDEX(CdP,2,i_P+1)-INDEX(CdP,2,i_P+0))/(INDEX(CdP,1,i_P+1)-INDEX(CdP,1,i_P+0))*(t-pas/2-T_ini-INDEX(CdP,1,i_P+0))+INDEX(CdP,2,i_P+0)</f>
        <v>780.89000000000158</v>
      </c>
      <c r="R69" s="306">
        <f t="shared" ref="R69:R132" ca="1" si="49">Poussee/(g*ISP)</f>
        <v>0.39189230799127539</v>
      </c>
      <c r="S69" s="307">
        <f t="shared" ref="S69:S132" ca="1" si="50">S68-Débit*pas</f>
        <v>6.4234478045735219</v>
      </c>
      <c r="T69" s="304">
        <f t="shared" ca="1" si="30"/>
        <v>63.014022962866257</v>
      </c>
      <c r="U69" s="311">
        <f t="shared" ca="1" si="31"/>
        <v>0</v>
      </c>
      <c r="V69" s="306">
        <f t="shared" ca="1" si="32"/>
        <v>1.169660514795487</v>
      </c>
      <c r="W69" s="304">
        <f t="shared" ca="1" si="33"/>
        <v>74.399886350293855</v>
      </c>
      <c r="Y69" s="314" t="str">
        <f t="shared" ref="Y69:Y132" ca="1" si="51">IF(AND(pos_z&lt;=0,K68&gt;0),"Impact balistique","") &amp; IF(AND(H70&lt;0,vit_z&gt;=0),"Apogée","") &amp; IF(AND(Poussee=0,Q68&gt;0),"Fin de propulsion","") &amp; IF(AND(L70&gt;L_rampe,pos_xz&lt;=L_rampe),"Sortie de rampe","")</f>
        <v/>
      </c>
      <c r="Z69" s="315" t="str">
        <f t="shared" ref="Z69:Z132" ca="1" si="52">IF(ABS(t-T_para)&lt;pas/2,"Para","")</f>
        <v/>
      </c>
      <c r="AA69" s="316" t="str">
        <f t="shared" ref="AA69:AA132" ca="1" si="53">IF(ABS(t-T_satellite)&lt;pas/2,"Satellite","")</f>
        <v/>
      </c>
      <c r="AC69" s="310" t="e">
        <f t="shared" ref="AC69:AC132" ca="1" si="54">IF(ABS(t-ROUND(t,0))&lt;0.001,t,NA())</f>
        <v>#N/A</v>
      </c>
      <c r="AD69" s="323" t="e">
        <f t="shared" ref="AD69:AD132" ca="1" si="55">IF(ABS(t-ROUND(t,0))&lt;0.001,pos_x,NA())</f>
        <v>#N/A</v>
      </c>
      <c r="AE69" s="324">
        <f t="shared" ca="1" si="34"/>
        <v>462.19065176542841</v>
      </c>
      <c r="AG69" s="306">
        <f t="shared" ref="AG69:AG132" ca="1" si="56">IF(AND(L68&lt;L_rampe,Poussee&lt;Poids*SIN(M68)),0,(-W68+Poussee)/m-Poids*SIN(M68)/m)</f>
        <v>100.38966957854409</v>
      </c>
      <c r="AH69" s="304">
        <f t="shared" ref="AH69:AH132" ca="1" si="57">IF(AND(L68&lt;L_rampe,Poussee&lt;Poids*SIN(M68)), g*SIN(M68), (-W68+Poussee)/m)</f>
        <v>110.10223566876176</v>
      </c>
    </row>
    <row r="70" spans="1:34" x14ac:dyDescent="0.2">
      <c r="A70" s="347">
        <f t="shared" ca="1" si="35"/>
        <v>0.01</v>
      </c>
      <c r="B70" s="304">
        <f t="shared" ca="1" si="36"/>
        <v>4.6599999999999859</v>
      </c>
      <c r="D70" s="306">
        <f t="shared" ca="1" si="37"/>
        <v>15.454188184840314</v>
      </c>
      <c r="E70" s="307">
        <f t="shared" ca="1" si="38"/>
        <v>98.967029061542149</v>
      </c>
      <c r="F70" s="304">
        <f t="shared" ca="1" si="39"/>
        <v>100.16638544801637</v>
      </c>
      <c r="G70" s="306">
        <f t="shared" ca="1" si="40"/>
        <v>27.726577580350877</v>
      </c>
      <c r="H70" s="307">
        <f t="shared" ca="1" si="41"/>
        <v>195.06030619784022</v>
      </c>
      <c r="I70" s="304">
        <f t="shared" ca="1" si="42"/>
        <v>197.02102973620455</v>
      </c>
      <c r="J70" s="306">
        <f t="shared" ca="1" si="43"/>
        <v>58.12649783435733</v>
      </c>
      <c r="K70" s="307">
        <f t="shared" ca="1" si="44"/>
        <v>464.13630647595375</v>
      </c>
      <c r="L70" s="304">
        <f t="shared" ca="1" si="29"/>
        <v>467.76190603727878</v>
      </c>
      <c r="M70" s="306">
        <f t="shared" ca="1" si="45"/>
        <v>1.4295985966504261</v>
      </c>
      <c r="N70" s="304">
        <f t="shared" ca="1" si="46"/>
        <v>81.909965985894729</v>
      </c>
      <c r="P70" s="310">
        <f t="shared" ca="1" si="47"/>
        <v>3</v>
      </c>
      <c r="Q70" s="304">
        <f t="shared" ca="1" si="48"/>
        <v>779.71000000000163</v>
      </c>
      <c r="R70" s="306">
        <f t="shared" ca="1" si="49"/>
        <v>0.39130012096950578</v>
      </c>
      <c r="S70" s="307">
        <f t="shared" ca="1" si="50"/>
        <v>6.4195348033638266</v>
      </c>
      <c r="T70" s="304">
        <f t="shared" ca="1" si="30"/>
        <v>62.975636420999145</v>
      </c>
      <c r="U70" s="311">
        <f t="shared" ca="1" si="31"/>
        <v>0</v>
      </c>
      <c r="V70" s="306">
        <f t="shared" ca="1" si="32"/>
        <v>1.1694328392932842</v>
      </c>
      <c r="W70" s="304">
        <f t="shared" ca="1" si="33"/>
        <v>75.147496762309686</v>
      </c>
      <c r="Y70" s="314" t="str">
        <f t="shared" ca="1" si="51"/>
        <v/>
      </c>
      <c r="Z70" s="315" t="str">
        <f t="shared" ca="1" si="52"/>
        <v/>
      </c>
      <c r="AA70" s="316" t="str">
        <f t="shared" ca="1" si="53"/>
        <v/>
      </c>
      <c r="AC70" s="310" t="e">
        <f t="shared" ca="1" si="54"/>
        <v>#N/A</v>
      </c>
      <c r="AD70" s="323" t="e">
        <f t="shared" ca="1" si="55"/>
        <v>#N/A</v>
      </c>
      <c r="AE70" s="324">
        <f t="shared" ca="1" si="34"/>
        <v>464.13630647595375</v>
      </c>
      <c r="AG70" s="306">
        <f t="shared" ca="1" si="56"/>
        <v>100.15688058400089</v>
      </c>
      <c r="AH70" s="304">
        <f t="shared" ca="1" si="57"/>
        <v>109.86934961083571</v>
      </c>
    </row>
    <row r="71" spans="1:34" x14ac:dyDescent="0.2">
      <c r="A71" s="347">
        <f t="shared" ca="1" si="35"/>
        <v>0.01</v>
      </c>
      <c r="B71" s="304">
        <f t="shared" ca="1" si="36"/>
        <v>4.6699999999999857</v>
      </c>
      <c r="D71" s="306">
        <f t="shared" ca="1" si="37"/>
        <v>15.428939881766359</v>
      </c>
      <c r="E71" s="307">
        <f t="shared" ca="1" si="38"/>
        <v>98.734724963755554</v>
      </c>
      <c r="F71" s="304">
        <f t="shared" ca="1" si="39"/>
        <v>99.932968031293925</v>
      </c>
      <c r="G71" s="306">
        <f t="shared" ca="1" si="40"/>
        <v>27.880866979168541</v>
      </c>
      <c r="H71" s="307">
        <f t="shared" ca="1" si="41"/>
        <v>196.04765344747778</v>
      </c>
      <c r="I71" s="304">
        <f t="shared" ca="1" si="42"/>
        <v>198.02026453313417</v>
      </c>
      <c r="J71" s="306">
        <f t="shared" ca="1" si="43"/>
        <v>58.404535057154931</v>
      </c>
      <c r="K71" s="307">
        <f t="shared" ca="1" si="44"/>
        <v>466.09184627418034</v>
      </c>
      <c r="L71" s="304">
        <f t="shared" ca="1" si="29"/>
        <v>469.73684002696297</v>
      </c>
      <c r="M71" s="306">
        <f t="shared" ca="1" si="45"/>
        <v>1.4295288789501874</v>
      </c>
      <c r="N71" s="304">
        <f t="shared" ca="1" si="46"/>
        <v>81.905971455913686</v>
      </c>
      <c r="P71" s="310">
        <f t="shared" ca="1" si="47"/>
        <v>3</v>
      </c>
      <c r="Q71" s="304">
        <f t="shared" ca="1" si="48"/>
        <v>778.53000000000168</v>
      </c>
      <c r="R71" s="306">
        <f t="shared" ca="1" si="49"/>
        <v>0.39070793394773617</v>
      </c>
      <c r="S71" s="307">
        <f t="shared" ca="1" si="50"/>
        <v>6.4156277240243496</v>
      </c>
      <c r="T71" s="304">
        <f t="shared" ca="1" si="30"/>
        <v>62.937307972678873</v>
      </c>
      <c r="U71" s="311">
        <f t="shared" ca="1" si="31"/>
        <v>0</v>
      </c>
      <c r="V71" s="306">
        <f t="shared" ca="1" si="32"/>
        <v>1.1692040506830021</v>
      </c>
      <c r="W71" s="304">
        <f t="shared" ca="1" si="33"/>
        <v>75.896831908233068</v>
      </c>
      <c r="Y71" s="314" t="str">
        <f t="shared" ca="1" si="51"/>
        <v/>
      </c>
      <c r="Z71" s="315" t="str">
        <f t="shared" ca="1" si="52"/>
        <v/>
      </c>
      <c r="AA71" s="316" t="str">
        <f t="shared" ca="1" si="53"/>
        <v/>
      </c>
      <c r="AC71" s="310" t="e">
        <f t="shared" ca="1" si="54"/>
        <v>#N/A</v>
      </c>
      <c r="AD71" s="323" t="e">
        <f t="shared" ca="1" si="55"/>
        <v>#N/A</v>
      </c>
      <c r="AE71" s="324">
        <f t="shared" ca="1" si="34"/>
        <v>466.09184627418034</v>
      </c>
      <c r="AG71" s="306">
        <f t="shared" ca="1" si="56"/>
        <v>99.92343156851534</v>
      </c>
      <c r="AH71" s="304">
        <f t="shared" ca="1" si="57"/>
        <v>109.63580392979522</v>
      </c>
    </row>
    <row r="72" spans="1:34" x14ac:dyDescent="0.2">
      <c r="A72" s="347">
        <f t="shared" ca="1" si="35"/>
        <v>0.01</v>
      </c>
      <c r="B72" s="304">
        <f t="shared" ca="1" si="36"/>
        <v>4.6799999999999855</v>
      </c>
      <c r="D72" s="306">
        <f t="shared" ca="1" si="37"/>
        <v>15.403532380323153</v>
      </c>
      <c r="E72" s="307">
        <f t="shared" ca="1" si="38"/>
        <v>98.501781703950911</v>
      </c>
      <c r="F72" s="304">
        <f t="shared" ca="1" si="39"/>
        <v>99.698895724298083</v>
      </c>
      <c r="G72" s="306">
        <f t="shared" ca="1" si="40"/>
        <v>28.034902302971773</v>
      </c>
      <c r="H72" s="307">
        <f t="shared" ca="1" si="41"/>
        <v>197.03267126451729</v>
      </c>
      <c r="I72" s="304">
        <f t="shared" ca="1" si="42"/>
        <v>199.01715828734092</v>
      </c>
      <c r="J72" s="306">
        <f t="shared" ca="1" si="43"/>
        <v>58.684113903565631</v>
      </c>
      <c r="K72" s="307">
        <f t="shared" ca="1" si="44"/>
        <v>468.0572478977403</v>
      </c>
      <c r="L72" s="304">
        <f t="shared" ca="1" si="29"/>
        <v>471.72175329769709</v>
      </c>
      <c r="M72" s="306">
        <f t="shared" ca="1" si="45"/>
        <v>1.4294594764485551</v>
      </c>
      <c r="N72" s="304">
        <f t="shared" ca="1" si="46"/>
        <v>81.901994985482503</v>
      </c>
      <c r="P72" s="310">
        <f t="shared" ca="1" si="47"/>
        <v>3</v>
      </c>
      <c r="Q72" s="304">
        <f t="shared" ca="1" si="48"/>
        <v>777.35000000000173</v>
      </c>
      <c r="R72" s="306">
        <f t="shared" ca="1" si="49"/>
        <v>0.39011574692596651</v>
      </c>
      <c r="S72" s="307">
        <f t="shared" ca="1" si="50"/>
        <v>6.4117265665550898</v>
      </c>
      <c r="T72" s="304">
        <f t="shared" ca="1" si="30"/>
        <v>62.899037617905435</v>
      </c>
      <c r="U72" s="311">
        <f t="shared" ca="1" si="31"/>
        <v>0</v>
      </c>
      <c r="V72" s="306">
        <f t="shared" ca="1" si="32"/>
        <v>1.1689741523359651</v>
      </c>
      <c r="W72" s="304">
        <f t="shared" ca="1" si="33"/>
        <v>76.647856467103239</v>
      </c>
      <c r="Y72" s="314" t="str">
        <f t="shared" ca="1" si="51"/>
        <v/>
      </c>
      <c r="Z72" s="315" t="str">
        <f t="shared" ca="1" si="52"/>
        <v/>
      </c>
      <c r="AA72" s="316" t="str">
        <f t="shared" ca="1" si="53"/>
        <v/>
      </c>
      <c r="AC72" s="310" t="e">
        <f t="shared" ca="1" si="54"/>
        <v>#N/A</v>
      </c>
      <c r="AD72" s="323" t="e">
        <f t="shared" ca="1" si="55"/>
        <v>#N/A</v>
      </c>
      <c r="AE72" s="324">
        <f t="shared" ca="1" si="34"/>
        <v>468.0572478977403</v>
      </c>
      <c r="AG72" s="306">
        <f t="shared" ca="1" si="56"/>
        <v>99.689327490304692</v>
      </c>
      <c r="AH72" s="304">
        <f t="shared" ca="1" si="57"/>
        <v>109.40160357908827</v>
      </c>
    </row>
    <row r="73" spans="1:34" x14ac:dyDescent="0.2">
      <c r="A73" s="347">
        <f t="shared" ca="1" si="35"/>
        <v>0.01</v>
      </c>
      <c r="B73" s="304">
        <f t="shared" ca="1" si="36"/>
        <v>4.6899999999999853</v>
      </c>
      <c r="D73" s="306">
        <f t="shared" ca="1" si="37"/>
        <v>15.377966885511379</v>
      </c>
      <c r="E73" s="307">
        <f t="shared" ca="1" si="38"/>
        <v>98.268204137291079</v>
      </c>
      <c r="F73" s="304">
        <f t="shared" ca="1" si="39"/>
        <v>99.464173499306753</v>
      </c>
      <c r="G73" s="306">
        <f t="shared" ca="1" si="40"/>
        <v>28.188681971826888</v>
      </c>
      <c r="H73" s="307">
        <f t="shared" ca="1" si="41"/>
        <v>198.01535330589019</v>
      </c>
      <c r="I73" s="304">
        <f t="shared" ca="1" si="42"/>
        <v>200.01170449792511</v>
      </c>
      <c r="J73" s="306">
        <f t="shared" ca="1" si="43"/>
        <v>58.965231824939622</v>
      </c>
      <c r="K73" s="307">
        <f t="shared" ca="1" si="44"/>
        <v>470.03248802059233</v>
      </c>
      <c r="L73" s="304">
        <f t="shared" ca="1" si="29"/>
        <v>473.71662242209442</v>
      </c>
      <c r="M73" s="306">
        <f t="shared" ca="1" si="45"/>
        <v>1.4293903853460279</v>
      </c>
      <c r="N73" s="304">
        <f t="shared" ca="1" si="46"/>
        <v>81.898036356905791</v>
      </c>
      <c r="P73" s="310">
        <f t="shared" ca="1" si="47"/>
        <v>3</v>
      </c>
      <c r="Q73" s="304">
        <f t="shared" ca="1" si="48"/>
        <v>776.17000000000166</v>
      </c>
      <c r="R73" s="306">
        <f t="shared" ca="1" si="49"/>
        <v>0.38952355990419685</v>
      </c>
      <c r="S73" s="307">
        <f t="shared" ca="1" si="50"/>
        <v>6.4078313309560482</v>
      </c>
      <c r="T73" s="304">
        <f t="shared" ca="1" si="30"/>
        <v>62.860825356678838</v>
      </c>
      <c r="U73" s="311">
        <f t="shared" ca="1" si="31"/>
        <v>0</v>
      </c>
      <c r="V73" s="306">
        <f t="shared" ca="1" si="32"/>
        <v>1.1687431476318189</v>
      </c>
      <c r="W73" s="304">
        <f t="shared" ca="1" si="33"/>
        <v>77.400535141703855</v>
      </c>
      <c r="Y73" s="314" t="str">
        <f t="shared" ca="1" si="51"/>
        <v/>
      </c>
      <c r="Z73" s="315" t="str">
        <f t="shared" ca="1" si="52"/>
        <v/>
      </c>
      <c r="AA73" s="316" t="str">
        <f t="shared" ca="1" si="53"/>
        <v/>
      </c>
      <c r="AC73" s="310" t="e">
        <f t="shared" ca="1" si="54"/>
        <v>#N/A</v>
      </c>
      <c r="AD73" s="323" t="e">
        <f t="shared" ca="1" si="55"/>
        <v>#N/A</v>
      </c>
      <c r="AE73" s="324">
        <f t="shared" ca="1" si="34"/>
        <v>470.03248802059233</v>
      </c>
      <c r="AG73" s="306">
        <f t="shared" ca="1" si="56"/>
        <v>99.454573319822146</v>
      </c>
      <c r="AH73" s="304">
        <f t="shared" ca="1" si="57"/>
        <v>109.1667535244767</v>
      </c>
    </row>
    <row r="74" spans="1:34" x14ac:dyDescent="0.2">
      <c r="A74" s="347">
        <f t="shared" ca="1" si="35"/>
        <v>0.01</v>
      </c>
      <c r="B74" s="304">
        <f t="shared" ca="1" si="36"/>
        <v>4.6999999999999851</v>
      </c>
      <c r="D74" s="306">
        <f t="shared" ca="1" si="37"/>
        <v>15.352244596011117</v>
      </c>
      <c r="E74" s="307">
        <f t="shared" ca="1" si="38"/>
        <v>98.033997131752528</v>
      </c>
      <c r="F74" s="304">
        <f t="shared" ca="1" si="39"/>
        <v>99.228806340518958</v>
      </c>
      <c r="G74" s="306">
        <f t="shared" ca="1" si="40"/>
        <v>28.342204417786999</v>
      </c>
      <c r="H74" s="307">
        <f t="shared" ca="1" si="41"/>
        <v>198.99569327720772</v>
      </c>
      <c r="I74" s="304">
        <f t="shared" ca="1" si="42"/>
        <v>201.00389671381041</v>
      </c>
      <c r="J74" s="306">
        <f t="shared" ca="1" si="43"/>
        <v>59.247886256887689</v>
      </c>
      <c r="K74" s="307">
        <f t="shared" ca="1" si="44"/>
        <v>472.01754325350782</v>
      </c>
      <c r="L74" s="304">
        <f t="shared" ca="1" si="29"/>
        <v>475.72142390792766</v>
      </c>
      <c r="M74" s="306">
        <f t="shared" ca="1" si="45"/>
        <v>1.4293216019063661</v>
      </c>
      <c r="N74" s="304">
        <f t="shared" ca="1" si="46"/>
        <v>81.894095356112786</v>
      </c>
      <c r="P74" s="310">
        <f t="shared" ca="1" si="47"/>
        <v>3</v>
      </c>
      <c r="Q74" s="304">
        <f t="shared" ca="1" si="48"/>
        <v>774.99000000000171</v>
      </c>
      <c r="R74" s="306">
        <f t="shared" ca="1" si="49"/>
        <v>0.38893137288242718</v>
      </c>
      <c r="S74" s="307">
        <f t="shared" ca="1" si="50"/>
        <v>6.4039420172272239</v>
      </c>
      <c r="T74" s="304">
        <f t="shared" ca="1" si="30"/>
        <v>62.822671188999067</v>
      </c>
      <c r="U74" s="311">
        <f t="shared" ca="1" si="31"/>
        <v>0</v>
      </c>
      <c r="V74" s="306">
        <f t="shared" ca="1" si="32"/>
        <v>1.1685110399584338</v>
      </c>
      <c r="W74" s="304">
        <f t="shared" ca="1" si="33"/>
        <v>78.154832660587445</v>
      </c>
      <c r="Y74" s="314" t="str">
        <f t="shared" ca="1" si="51"/>
        <v/>
      </c>
      <c r="Z74" s="315" t="str">
        <f t="shared" ca="1" si="52"/>
        <v/>
      </c>
      <c r="AA74" s="316" t="str">
        <f t="shared" ca="1" si="53"/>
        <v/>
      </c>
      <c r="AC74" s="310" t="e">
        <f t="shared" ca="1" si="54"/>
        <v>#N/A</v>
      </c>
      <c r="AD74" s="323" t="e">
        <f t="shared" ca="1" si="55"/>
        <v>#N/A</v>
      </c>
      <c r="AE74" s="324">
        <f t="shared" ca="1" si="34"/>
        <v>472.01754325350782</v>
      </c>
      <c r="AG74" s="306">
        <f t="shared" ca="1" si="56"/>
        <v>99.219174039432914</v>
      </c>
      <c r="AH74" s="304">
        <f t="shared" ca="1" si="57"/>
        <v>108.93125874371047</v>
      </c>
    </row>
    <row r="75" spans="1:34" x14ac:dyDescent="0.2">
      <c r="A75" s="347">
        <f t="shared" ca="1" si="35"/>
        <v>0.01</v>
      </c>
      <c r="B75" s="304">
        <f t="shared" ca="1" si="36"/>
        <v>4.7099999999999849</v>
      </c>
      <c r="D75" s="306">
        <f t="shared" ca="1" si="37"/>
        <v>15.326366704333122</v>
      </c>
      <c r="E75" s="307">
        <f t="shared" ca="1" si="38"/>
        <v>97.79916556777907</v>
      </c>
      <c r="F75" s="304">
        <f t="shared" ca="1" si="39"/>
        <v>98.99279924373063</v>
      </c>
      <c r="G75" s="306">
        <f t="shared" ca="1" si="40"/>
        <v>28.495468084830328</v>
      </c>
      <c r="H75" s="307">
        <f t="shared" ca="1" si="41"/>
        <v>199.9736849328855</v>
      </c>
      <c r="I75" s="304">
        <f t="shared" ca="1" si="42"/>
        <v>201.99372853385955</v>
      </c>
      <c r="J75" s="306">
        <f t="shared" ca="1" si="43"/>
        <v>59.532074619400774</v>
      </c>
      <c r="K75" s="307">
        <f t="shared" ca="1" si="44"/>
        <v>474.01239014455831</v>
      </c>
      <c r="L75" s="304">
        <f t="shared" ca="1" si="29"/>
        <v>477.73613419862522</v>
      </c>
      <c r="M75" s="306">
        <f t="shared" ca="1" si="45"/>
        <v>1.4292531224551728</v>
      </c>
      <c r="N75" s="304">
        <f t="shared" ca="1" si="46"/>
        <v>81.890171772576025</v>
      </c>
      <c r="P75" s="310">
        <f t="shared" ca="1" si="47"/>
        <v>3</v>
      </c>
      <c r="Q75" s="304">
        <f t="shared" ca="1" si="48"/>
        <v>773.81000000000176</v>
      </c>
      <c r="R75" s="306">
        <f t="shared" ca="1" si="49"/>
        <v>0.38833918586065758</v>
      </c>
      <c r="S75" s="307">
        <f t="shared" ca="1" si="50"/>
        <v>6.4000586253686169</v>
      </c>
      <c r="T75" s="304">
        <f t="shared" ca="1" si="30"/>
        <v>62.784575114866136</v>
      </c>
      <c r="U75" s="311">
        <f t="shared" ca="1" si="31"/>
        <v>0</v>
      </c>
      <c r="V75" s="306">
        <f t="shared" ca="1" si="32"/>
        <v>1.1682778327118142</v>
      </c>
      <c r="W75" s="304">
        <f t="shared" ca="1" si="33"/>
        <v>78.910713780091001</v>
      </c>
      <c r="Y75" s="314" t="str">
        <f t="shared" ca="1" si="51"/>
        <v/>
      </c>
      <c r="Z75" s="315" t="str">
        <f t="shared" ca="1" si="52"/>
        <v/>
      </c>
      <c r="AA75" s="316" t="str">
        <f t="shared" ca="1" si="53"/>
        <v/>
      </c>
      <c r="AC75" s="310" t="e">
        <f t="shared" ca="1" si="54"/>
        <v>#N/A</v>
      </c>
      <c r="AD75" s="323" t="e">
        <f t="shared" ca="1" si="55"/>
        <v>#N/A</v>
      </c>
      <c r="AE75" s="324">
        <f t="shared" ca="1" si="34"/>
        <v>474.01239014455831</v>
      </c>
      <c r="AG75" s="306">
        <f t="shared" ca="1" si="56"/>
        <v>98.983134643089713</v>
      </c>
      <c r="AH75" s="304">
        <f t="shared" ca="1" si="57"/>
        <v>108.69512422620151</v>
      </c>
    </row>
    <row r="76" spans="1:34" x14ac:dyDescent="0.2">
      <c r="A76" s="347">
        <f t="shared" ca="1" si="35"/>
        <v>0.01</v>
      </c>
      <c r="B76" s="304">
        <f t="shared" ca="1" si="36"/>
        <v>4.7199999999999847</v>
      </c>
      <c r="D76" s="306">
        <f t="shared" ca="1" si="37"/>
        <v>15.300334396964484</v>
      </c>
      <c r="E76" s="307">
        <f t="shared" ca="1" si="38"/>
        <v>97.563714337936744</v>
      </c>
      <c r="F76" s="304">
        <f t="shared" ca="1" si="39"/>
        <v>98.756157216010891</v>
      </c>
      <c r="G76" s="306">
        <f t="shared" ca="1" si="40"/>
        <v>28.648471428799972</v>
      </c>
      <c r="H76" s="307">
        <f t="shared" ca="1" si="41"/>
        <v>200.94932207626488</v>
      </c>
      <c r="I76" s="304">
        <f t="shared" ca="1" si="42"/>
        <v>202.98119360698718</v>
      </c>
      <c r="J76" s="306">
        <f t="shared" ca="1" si="43"/>
        <v>59.817794316968929</v>
      </c>
      <c r="K76" s="307">
        <f t="shared" ca="1" si="44"/>
        <v>476.01700517960404</v>
      </c>
      <c r="L76" s="304">
        <f t="shared" ca="1" si="29"/>
        <v>479.76072967376808</v>
      </c>
      <c r="M76" s="306">
        <f t="shared" ca="1" si="45"/>
        <v>1.4291849433785144</v>
      </c>
      <c r="N76" s="304">
        <f t="shared" ca="1" si="46"/>
        <v>81.8862653992324</v>
      </c>
      <c r="P76" s="310">
        <f t="shared" ca="1" si="47"/>
        <v>3</v>
      </c>
      <c r="Q76" s="304">
        <f t="shared" ca="1" si="48"/>
        <v>772.63000000000181</v>
      </c>
      <c r="R76" s="306">
        <f t="shared" ca="1" si="49"/>
        <v>0.38774699883888797</v>
      </c>
      <c r="S76" s="307">
        <f t="shared" ca="1" si="50"/>
        <v>6.3961811553802281</v>
      </c>
      <c r="T76" s="304">
        <f t="shared" ca="1" si="30"/>
        <v>62.74653713428004</v>
      </c>
      <c r="U76" s="311">
        <f t="shared" ca="1" si="31"/>
        <v>0</v>
      </c>
      <c r="V76" s="306">
        <f t="shared" ca="1" si="32"/>
        <v>1.1680435292960043</v>
      </c>
      <c r="W76" s="304">
        <f t="shared" ca="1" si="33"/>
        <v>79.668143286342612</v>
      </c>
      <c r="Y76" s="314" t="str">
        <f t="shared" ca="1" si="51"/>
        <v/>
      </c>
      <c r="Z76" s="315" t="str">
        <f t="shared" ca="1" si="52"/>
        <v/>
      </c>
      <c r="AA76" s="316" t="str">
        <f t="shared" ca="1" si="53"/>
        <v/>
      </c>
      <c r="AC76" s="310" t="e">
        <f t="shared" ca="1" si="54"/>
        <v>#N/A</v>
      </c>
      <c r="AD76" s="323" t="e">
        <f t="shared" ca="1" si="55"/>
        <v>#N/A</v>
      </c>
      <c r="AE76" s="324">
        <f t="shared" ca="1" si="34"/>
        <v>476.01700517960404</v>
      </c>
      <c r="AG76" s="306">
        <f t="shared" ca="1" si="56"/>
        <v>98.746460136008778</v>
      </c>
      <c r="AH76" s="304">
        <f t="shared" ca="1" si="57"/>
        <v>108.45835497269806</v>
      </c>
    </row>
    <row r="77" spans="1:34" x14ac:dyDescent="0.2">
      <c r="A77" s="347">
        <f t="shared" ca="1" si="35"/>
        <v>0.01</v>
      </c>
      <c r="B77" s="304">
        <f t="shared" ca="1" si="36"/>
        <v>4.7299999999999844</v>
      </c>
      <c r="D77" s="306">
        <f t="shared" ca="1" si="37"/>
        <v>15.274148854508818</v>
      </c>
      <c r="E77" s="307">
        <f t="shared" ca="1" si="38"/>
        <v>97.327648346569148</v>
      </c>
      <c r="F77" s="304">
        <f t="shared" ca="1" si="39"/>
        <v>98.518885275378125</v>
      </c>
      <c r="G77" s="306">
        <f t="shared" ca="1" si="40"/>
        <v>28.801212917345062</v>
      </c>
      <c r="H77" s="307">
        <f t="shared" ca="1" si="41"/>
        <v>201.92259855973057</v>
      </c>
      <c r="I77" s="304">
        <f t="shared" ca="1" si="42"/>
        <v>203.96628563226901</v>
      </c>
      <c r="J77" s="306">
        <f t="shared" ca="1" si="43"/>
        <v>60.105042738699652</v>
      </c>
      <c r="K77" s="307">
        <f t="shared" ca="1" si="44"/>
        <v>478.03136478278401</v>
      </c>
      <c r="L77" s="304">
        <f t="shared" ca="1" si="29"/>
        <v>481.79518664958874</v>
      </c>
      <c r="M77" s="306">
        <f t="shared" ca="1" si="45"/>
        <v>1.4291170611215807</v>
      </c>
      <c r="N77" s="304">
        <f t="shared" ca="1" si="46"/>
        <v>81.882376032406285</v>
      </c>
      <c r="P77" s="310">
        <f t="shared" ca="1" si="47"/>
        <v>3</v>
      </c>
      <c r="Q77" s="304">
        <f t="shared" ca="1" si="48"/>
        <v>771.45000000000186</v>
      </c>
      <c r="R77" s="306">
        <f t="shared" ca="1" si="49"/>
        <v>0.38715481181711831</v>
      </c>
      <c r="S77" s="307">
        <f t="shared" ca="1" si="50"/>
        <v>6.3923096072620567</v>
      </c>
      <c r="T77" s="304">
        <f t="shared" ca="1" si="30"/>
        <v>62.708557247240776</v>
      </c>
      <c r="U77" s="311">
        <f t="shared" ca="1" si="31"/>
        <v>0</v>
      </c>
      <c r="V77" s="306">
        <f t="shared" ca="1" si="32"/>
        <v>1.1678081331229939</v>
      </c>
      <c r="W77" s="304">
        <f t="shared" ca="1" si="33"/>
        <v>80.427085997258288</v>
      </c>
      <c r="Y77" s="314" t="str">
        <f t="shared" ca="1" si="51"/>
        <v/>
      </c>
      <c r="Z77" s="315" t="str">
        <f t="shared" ca="1" si="52"/>
        <v/>
      </c>
      <c r="AA77" s="316" t="str">
        <f t="shared" ca="1" si="53"/>
        <v/>
      </c>
      <c r="AC77" s="310" t="e">
        <f t="shared" ca="1" si="54"/>
        <v>#N/A</v>
      </c>
      <c r="AD77" s="323" t="e">
        <f t="shared" ca="1" si="55"/>
        <v>#N/A</v>
      </c>
      <c r="AE77" s="324">
        <f t="shared" ca="1" si="34"/>
        <v>478.03136478278401</v>
      </c>
      <c r="AG77" s="306">
        <f t="shared" ca="1" si="56"/>
        <v>98.509155534345567</v>
      </c>
      <c r="AH77" s="304">
        <f t="shared" ca="1" si="57"/>
        <v>108.22095599495879</v>
      </c>
    </row>
    <row r="78" spans="1:34" x14ac:dyDescent="0.2">
      <c r="A78" s="347">
        <f t="shared" ca="1" si="35"/>
        <v>0.01</v>
      </c>
      <c r="B78" s="304">
        <f t="shared" ca="1" si="36"/>
        <v>4.7399999999999842</v>
      </c>
      <c r="D78" s="306">
        <f t="shared" ca="1" si="37"/>
        <v>15.247811251821135</v>
      </c>
      <c r="E78" s="307">
        <f t="shared" ca="1" si="38"/>
        <v>97.09097250945355</v>
      </c>
      <c r="F78" s="304">
        <f t="shared" ca="1" si="39"/>
        <v>98.280988450476158</v>
      </c>
      <c r="G78" s="306">
        <f t="shared" ca="1" si="40"/>
        <v>28.953691029863272</v>
      </c>
      <c r="H78" s="307">
        <f t="shared" ca="1" si="41"/>
        <v>202.89350828482512</v>
      </c>
      <c r="I78" s="304">
        <f t="shared" ca="1" si="42"/>
        <v>204.94899835904829</v>
      </c>
      <c r="J78" s="306">
        <f t="shared" ca="1" si="43"/>
        <v>60.393817258435696</v>
      </c>
      <c r="K78" s="307">
        <f t="shared" ca="1" si="44"/>
        <v>480.05544531700679</v>
      </c>
      <c r="L78" s="304">
        <f t="shared" ca="1" si="29"/>
        <v>483.83948137947056</v>
      </c>
      <c r="M78" s="306">
        <f t="shared" ca="1" si="45"/>
        <v>1.4290494721873805</v>
      </c>
      <c r="N78" s="304">
        <f t="shared" ca="1" si="46"/>
        <v>81.878503471734831</v>
      </c>
      <c r="P78" s="310">
        <f t="shared" ca="1" si="47"/>
        <v>3</v>
      </c>
      <c r="Q78" s="304">
        <f t="shared" ca="1" si="48"/>
        <v>770.2700000000018</v>
      </c>
      <c r="R78" s="306">
        <f t="shared" ca="1" si="49"/>
        <v>0.38656262479534864</v>
      </c>
      <c r="S78" s="307">
        <f t="shared" ca="1" si="50"/>
        <v>6.3884439810141034</v>
      </c>
      <c r="T78" s="304">
        <f t="shared" ca="1" si="30"/>
        <v>62.670635453748361</v>
      </c>
      <c r="U78" s="311">
        <f t="shared" ca="1" si="31"/>
        <v>0</v>
      </c>
      <c r="V78" s="306">
        <f t="shared" ca="1" si="32"/>
        <v>1.1675716476126237</v>
      </c>
      <c r="W78" s="304">
        <f t="shared" ca="1" si="33"/>
        <v>81.187506764529928</v>
      </c>
      <c r="Y78" s="314" t="str">
        <f t="shared" ca="1" si="51"/>
        <v/>
      </c>
      <c r="Z78" s="315" t="str">
        <f t="shared" ca="1" si="52"/>
        <v/>
      </c>
      <c r="AA78" s="316" t="str">
        <f t="shared" ca="1" si="53"/>
        <v/>
      </c>
      <c r="AC78" s="310" t="e">
        <f t="shared" ca="1" si="54"/>
        <v>#N/A</v>
      </c>
      <c r="AD78" s="323" t="e">
        <f t="shared" ca="1" si="55"/>
        <v>#N/A</v>
      </c>
      <c r="AE78" s="324">
        <f t="shared" ca="1" si="34"/>
        <v>480.05544531700679</v>
      </c>
      <c r="AG78" s="306">
        <f t="shared" ca="1" si="56"/>
        <v>98.271225864870587</v>
      </c>
      <c r="AH78" s="304">
        <f t="shared" ca="1" si="57"/>
        <v>107.98293231542709</v>
      </c>
    </row>
    <row r="79" spans="1:34" x14ac:dyDescent="0.2">
      <c r="A79" s="347">
        <f t="shared" ca="1" si="35"/>
        <v>0.01</v>
      </c>
      <c r="B79" s="304">
        <f t="shared" ca="1" si="36"/>
        <v>4.749999999999984</v>
      </c>
      <c r="D79" s="306">
        <f t="shared" ca="1" si="37"/>
        <v>15.221322758137637</v>
      </c>
      <c r="E79" s="307">
        <f t="shared" ca="1" si="38"/>
        <v>96.853691753457952</v>
      </c>
      <c r="F79" s="304">
        <f t="shared" ca="1" si="39"/>
        <v>98.042471780250665</v>
      </c>
      <c r="G79" s="306">
        <f t="shared" ca="1" si="40"/>
        <v>29.105904257444649</v>
      </c>
      <c r="H79" s="307">
        <f t="shared" ca="1" si="41"/>
        <v>203.8620452023597</v>
      </c>
      <c r="I79" s="304">
        <f t="shared" ca="1" si="42"/>
        <v>205.92932558703845</v>
      </c>
      <c r="J79" s="306">
        <f t="shared" ca="1" si="43"/>
        <v>60.684115234872237</v>
      </c>
      <c r="K79" s="307">
        <f t="shared" ca="1" si="44"/>
        <v>482.08922308444272</v>
      </c>
      <c r="L79" s="304">
        <f t="shared" ca="1" si="29"/>
        <v>485.89359005444891</v>
      </c>
      <c r="M79" s="306">
        <f t="shared" ca="1" si="45"/>
        <v>1.4289821731354746</v>
      </c>
      <c r="N79" s="304">
        <f t="shared" ca="1" si="46"/>
        <v>81.87464752009538</v>
      </c>
      <c r="P79" s="310">
        <f t="shared" ca="1" si="47"/>
        <v>3</v>
      </c>
      <c r="Q79" s="304">
        <f t="shared" ca="1" si="48"/>
        <v>769.09000000000185</v>
      </c>
      <c r="R79" s="306">
        <f t="shared" ca="1" si="49"/>
        <v>0.38597043777357903</v>
      </c>
      <c r="S79" s="307">
        <f t="shared" ca="1" si="50"/>
        <v>6.3845842766363674</v>
      </c>
      <c r="T79" s="304">
        <f t="shared" ca="1" si="30"/>
        <v>62.632771753802764</v>
      </c>
      <c r="U79" s="311">
        <f t="shared" ca="1" si="31"/>
        <v>0</v>
      </c>
      <c r="V79" s="306">
        <f t="shared" ca="1" si="32"/>
        <v>1.1673340761924962</v>
      </c>
      <c r="W79" s="304">
        <f t="shared" ca="1" si="33"/>
        <v>81.94937047560326</v>
      </c>
      <c r="Y79" s="314" t="str">
        <f t="shared" ca="1" si="51"/>
        <v/>
      </c>
      <c r="Z79" s="315" t="str">
        <f t="shared" ca="1" si="52"/>
        <v/>
      </c>
      <c r="AA79" s="316" t="str">
        <f t="shared" ca="1" si="53"/>
        <v/>
      </c>
      <c r="AC79" s="310" t="e">
        <f t="shared" ca="1" si="54"/>
        <v>#N/A</v>
      </c>
      <c r="AD79" s="323" t="e">
        <f t="shared" ca="1" si="55"/>
        <v>#N/A</v>
      </c>
      <c r="AE79" s="324">
        <f t="shared" ca="1" si="34"/>
        <v>482.08922308444272</v>
      </c>
      <c r="AG79" s="306">
        <f t="shared" ca="1" si="56"/>
        <v>98.032676164645594</v>
      </c>
      <c r="AH79" s="304">
        <f t="shared" ca="1" si="57"/>
        <v>107.74428896690577</v>
      </c>
    </row>
    <row r="80" spans="1:34" x14ac:dyDescent="0.2">
      <c r="A80" s="347">
        <f t="shared" ca="1" si="35"/>
        <v>0.01</v>
      </c>
      <c r="B80" s="304">
        <f t="shared" ca="1" si="36"/>
        <v>4.7599999999999838</v>
      </c>
      <c r="D80" s="306">
        <f t="shared" ca="1" si="37"/>
        <v>15.194684537200553</v>
      </c>
      <c r="E80" s="307">
        <f t="shared" ca="1" si="38"/>
        <v>96.615811016198592</v>
      </c>
      <c r="F80" s="304">
        <f t="shared" ca="1" si="39"/>
        <v>97.803340313625498</v>
      </c>
      <c r="G80" s="306">
        <f t="shared" ca="1" si="40"/>
        <v>29.257851102816655</v>
      </c>
      <c r="H80" s="307">
        <f t="shared" ca="1" si="41"/>
        <v>204.82820331252168</v>
      </c>
      <c r="I80" s="304">
        <f t="shared" ca="1" si="42"/>
        <v>206.90726116642284</v>
      </c>
      <c r="J80" s="306">
        <f t="shared" ca="1" si="43"/>
        <v>60.975934011673544</v>
      </c>
      <c r="K80" s="307">
        <f t="shared" ca="1" si="44"/>
        <v>484.13267432701713</v>
      </c>
      <c r="L80" s="304">
        <f t="shared" ca="1" si="29"/>
        <v>487.95748880371292</v>
      </c>
      <c r="M80" s="306">
        <f t="shared" ca="1" si="45"/>
        <v>1.428915160580742</v>
      </c>
      <c r="N80" s="304">
        <f t="shared" ca="1" si="46"/>
        <v>81.870807983534817</v>
      </c>
      <c r="P80" s="310">
        <f t="shared" ca="1" si="47"/>
        <v>3</v>
      </c>
      <c r="Q80" s="304">
        <f t="shared" ca="1" si="48"/>
        <v>767.9100000000019</v>
      </c>
      <c r="R80" s="306">
        <f t="shared" ca="1" si="49"/>
        <v>0.38537825075180937</v>
      </c>
      <c r="S80" s="307">
        <f t="shared" ca="1" si="50"/>
        <v>6.3807304941288496</v>
      </c>
      <c r="T80" s="304">
        <f t="shared" ca="1" si="30"/>
        <v>62.594966147404016</v>
      </c>
      <c r="U80" s="311">
        <f t="shared" ca="1" si="31"/>
        <v>0</v>
      </c>
      <c r="V80" s="306">
        <f t="shared" ca="1" si="32"/>
        <v>1.1670954222978758</v>
      </c>
      <c r="W80" s="304">
        <f t="shared" ca="1" si="33"/>
        <v>82.712642055645617</v>
      </c>
      <c r="Y80" s="314" t="str">
        <f t="shared" ca="1" si="51"/>
        <v/>
      </c>
      <c r="Z80" s="315" t="str">
        <f t="shared" ca="1" si="52"/>
        <v/>
      </c>
      <c r="AA80" s="316" t="str">
        <f t="shared" ca="1" si="53"/>
        <v/>
      </c>
      <c r="AC80" s="310" t="e">
        <f t="shared" ca="1" si="54"/>
        <v>#N/A</v>
      </c>
      <c r="AD80" s="323" t="e">
        <f t="shared" ca="1" si="55"/>
        <v>#N/A</v>
      </c>
      <c r="AE80" s="324">
        <f t="shared" ca="1" si="34"/>
        <v>484.13267432701713</v>
      </c>
      <c r="AG80" s="306">
        <f t="shared" ca="1" si="56"/>
        <v>97.793511480699522</v>
      </c>
      <c r="AH80" s="304">
        <f t="shared" ca="1" si="57"/>
        <v>107.50503099223151</v>
      </c>
    </row>
    <row r="81" spans="1:34" x14ac:dyDescent="0.2">
      <c r="A81" s="347">
        <f t="shared" ca="1" si="35"/>
        <v>0.01</v>
      </c>
      <c r="B81" s="304">
        <f t="shared" ca="1" si="36"/>
        <v>4.7699999999999836</v>
      </c>
      <c r="D81" s="306">
        <f t="shared" ca="1" si="37"/>
        <v>15.1678977473782</v>
      </c>
      <c r="E81" s="307">
        <f t="shared" ca="1" si="38"/>
        <v>96.377335245698461</v>
      </c>
      <c r="F81" s="304">
        <f t="shared" ca="1" si="39"/>
        <v>97.563599109179393</v>
      </c>
      <c r="G81" s="306">
        <f t="shared" ca="1" si="40"/>
        <v>29.409530080290438</v>
      </c>
      <c r="H81" s="307">
        <f t="shared" ca="1" si="41"/>
        <v>205.79197666497868</v>
      </c>
      <c r="I81" s="304">
        <f t="shared" ca="1" si="42"/>
        <v>207.88279899795134</v>
      </c>
      <c r="J81" s="306">
        <f t="shared" ca="1" si="43"/>
        <v>61.269270917589083</v>
      </c>
      <c r="K81" s="307">
        <f t="shared" ca="1" si="44"/>
        <v>486.18577522690464</v>
      </c>
      <c r="L81" s="304">
        <f t="shared" ca="1" si="29"/>
        <v>490.03115369510863</v>
      </c>
      <c r="M81" s="306">
        <f t="shared" ca="1" si="45"/>
        <v>1.4288484311921805</v>
      </c>
      <c r="N81" s="304">
        <f t="shared" ca="1" si="46"/>
        <v>81.866984671200754</v>
      </c>
      <c r="P81" s="310">
        <f t="shared" ca="1" si="47"/>
        <v>3</v>
      </c>
      <c r="Q81" s="304">
        <f t="shared" ca="1" si="48"/>
        <v>766.73000000000195</v>
      </c>
      <c r="R81" s="306">
        <f t="shared" ca="1" si="49"/>
        <v>0.38478606373003976</v>
      </c>
      <c r="S81" s="307">
        <f t="shared" ca="1" si="50"/>
        <v>6.3768826334915492</v>
      </c>
      <c r="T81" s="304">
        <f t="shared" ca="1" si="30"/>
        <v>62.5572186345521</v>
      </c>
      <c r="U81" s="311">
        <f t="shared" ca="1" si="31"/>
        <v>0</v>
      </c>
      <c r="V81" s="306">
        <f t="shared" ca="1" si="32"/>
        <v>1.1668556893715993</v>
      </c>
      <c r="W81" s="304">
        <f t="shared" ca="1" si="33"/>
        <v>83.477286469504421</v>
      </c>
      <c r="Y81" s="314" t="str">
        <f t="shared" ca="1" si="51"/>
        <v/>
      </c>
      <c r="Z81" s="315" t="str">
        <f t="shared" ca="1" si="52"/>
        <v/>
      </c>
      <c r="AA81" s="316" t="str">
        <f t="shared" ca="1" si="53"/>
        <v/>
      </c>
      <c r="AC81" s="310" t="e">
        <f t="shared" ca="1" si="54"/>
        <v>#N/A</v>
      </c>
      <c r="AD81" s="323" t="e">
        <f t="shared" ca="1" si="55"/>
        <v>#N/A</v>
      </c>
      <c r="AE81" s="324">
        <f t="shared" ca="1" si="34"/>
        <v>486.18577522690464</v>
      </c>
      <c r="AG81" s="306">
        <f t="shared" ca="1" si="56"/>
        <v>97.553736869704906</v>
      </c>
      <c r="AH81" s="304">
        <f t="shared" ca="1" si="57"/>
        <v>107.26516344394985</v>
      </c>
    </row>
    <row r="82" spans="1:34" x14ac:dyDescent="0.2">
      <c r="A82" s="347">
        <f t="shared" ca="1" si="35"/>
        <v>0.01</v>
      </c>
      <c r="B82" s="304">
        <f t="shared" ca="1" si="36"/>
        <v>4.7799999999999834</v>
      </c>
      <c r="D82" s="306">
        <f t="shared" ca="1" si="37"/>
        <v>15.140963541780499</v>
      </c>
      <c r="E82" s="307">
        <f t="shared" ca="1" si="38"/>
        <v>96.13826940004661</v>
      </c>
      <c r="F82" s="304">
        <f t="shared" ca="1" si="39"/>
        <v>97.3232532348229</v>
      </c>
      <c r="G82" s="306">
        <f t="shared" ca="1" si="40"/>
        <v>29.560939715708244</v>
      </c>
      <c r="H82" s="307">
        <f t="shared" ca="1" si="41"/>
        <v>206.75335935897914</v>
      </c>
      <c r="I82" s="304">
        <f t="shared" ca="1" si="42"/>
        <v>208.85593303303335</v>
      </c>
      <c r="J82" s="306">
        <f t="shared" ca="1" si="43"/>
        <v>61.564123266569077</v>
      </c>
      <c r="K82" s="307">
        <f t="shared" ca="1" si="44"/>
        <v>488.24850190702443</v>
      </c>
      <c r="L82" s="304">
        <f t="shared" ca="1" si="29"/>
        <v>492.11456073564307</v>
      </c>
      <c r="M82" s="306">
        <f t="shared" ca="1" si="45"/>
        <v>1.4287819816917393</v>
      </c>
      <c r="N82" s="304">
        <f t="shared" ca="1" si="46"/>
        <v>81.863177395274718</v>
      </c>
      <c r="P82" s="310">
        <f t="shared" ca="1" si="47"/>
        <v>3</v>
      </c>
      <c r="Q82" s="304">
        <f t="shared" ca="1" si="48"/>
        <v>765.550000000002</v>
      </c>
      <c r="R82" s="306">
        <f t="shared" ca="1" si="49"/>
        <v>0.38419387670827015</v>
      </c>
      <c r="S82" s="307">
        <f t="shared" ca="1" si="50"/>
        <v>6.3730406947244669</v>
      </c>
      <c r="T82" s="304">
        <f t="shared" ca="1" si="30"/>
        <v>62.519529215247026</v>
      </c>
      <c r="U82" s="311">
        <f t="shared" ca="1" si="31"/>
        <v>0</v>
      </c>
      <c r="V82" s="306">
        <f t="shared" ca="1" si="32"/>
        <v>1.1666148808639811</v>
      </c>
      <c r="W82" s="304">
        <f t="shared" ca="1" si="33"/>
        <v>84.243268723654779</v>
      </c>
      <c r="Y82" s="314" t="str">
        <f t="shared" ca="1" si="51"/>
        <v/>
      </c>
      <c r="Z82" s="315" t="str">
        <f t="shared" ca="1" si="52"/>
        <v/>
      </c>
      <c r="AA82" s="316" t="str">
        <f t="shared" ca="1" si="53"/>
        <v/>
      </c>
      <c r="AC82" s="310" t="e">
        <f t="shared" ca="1" si="54"/>
        <v>#N/A</v>
      </c>
      <c r="AD82" s="323" t="e">
        <f t="shared" ca="1" si="55"/>
        <v>#N/A</v>
      </c>
      <c r="AE82" s="324">
        <f t="shared" ca="1" si="34"/>
        <v>488.24850190702443</v>
      </c>
      <c r="AG82" s="306">
        <f t="shared" ca="1" si="56"/>
        <v>97.313357397654457</v>
      </c>
      <c r="AH82" s="304">
        <f t="shared" ca="1" si="57"/>
        <v>107.02469138399036</v>
      </c>
    </row>
    <row r="83" spans="1:34" x14ac:dyDescent="0.2">
      <c r="A83" s="347">
        <f t="shared" ca="1" si="35"/>
        <v>0.01</v>
      </c>
      <c r="B83" s="304">
        <f t="shared" ca="1" si="36"/>
        <v>4.7899999999999832</v>
      </c>
      <c r="D83" s="306">
        <f t="shared" ca="1" si="37"/>
        <v>15.113883068370008</v>
      </c>
      <c r="E83" s="307">
        <f t="shared" ca="1" si="38"/>
        <v>95.898618447058226</v>
      </c>
      <c r="F83" s="304">
        <f t="shared" ca="1" si="39"/>
        <v>97.082307767475413</v>
      </c>
      <c r="G83" s="306">
        <f t="shared" ca="1" si="40"/>
        <v>29.712078546391943</v>
      </c>
      <c r="H83" s="307">
        <f t="shared" ca="1" si="41"/>
        <v>207.71234554344971</v>
      </c>
      <c r="I83" s="304">
        <f t="shared" ca="1" si="42"/>
        <v>209.82665727382786</v>
      </c>
      <c r="J83" s="306">
        <f t="shared" ca="1" si="43"/>
        <v>61.860488357879575</v>
      </c>
      <c r="K83" s="307">
        <f t="shared" ca="1" si="44"/>
        <v>490.32083043153659</v>
      </c>
      <c r="L83" s="304">
        <f t="shared" ca="1" si="29"/>
        <v>494.2076858719895</v>
      </c>
      <c r="M83" s="306">
        <f t="shared" ca="1" si="45"/>
        <v>1.4287158088531839</v>
      </c>
      <c r="N83" s="304">
        <f t="shared" ca="1" si="46"/>
        <v>81.859385970907098</v>
      </c>
      <c r="P83" s="310">
        <f t="shared" ca="1" si="47"/>
        <v>3</v>
      </c>
      <c r="Q83" s="304">
        <f t="shared" ca="1" si="48"/>
        <v>764.37000000000194</v>
      </c>
      <c r="R83" s="306">
        <f t="shared" ca="1" si="49"/>
        <v>0.38360168968650044</v>
      </c>
      <c r="S83" s="307">
        <f t="shared" ca="1" si="50"/>
        <v>6.3692046778276019</v>
      </c>
      <c r="T83" s="304">
        <f t="shared" ca="1" si="30"/>
        <v>62.481897889488778</v>
      </c>
      <c r="U83" s="311">
        <f t="shared" ca="1" si="31"/>
        <v>0</v>
      </c>
      <c r="V83" s="306">
        <f t="shared" ca="1" si="32"/>
        <v>1.1663730002327168</v>
      </c>
      <c r="W83" s="304">
        <f t="shared" ca="1" si="33"/>
        <v>85.010553868136768</v>
      </c>
      <c r="Y83" s="314" t="str">
        <f t="shared" ca="1" si="51"/>
        <v/>
      </c>
      <c r="Z83" s="315" t="str">
        <f t="shared" ca="1" si="52"/>
        <v/>
      </c>
      <c r="AA83" s="316" t="str">
        <f t="shared" ca="1" si="53"/>
        <v/>
      </c>
      <c r="AC83" s="310" t="e">
        <f t="shared" ca="1" si="54"/>
        <v>#N/A</v>
      </c>
      <c r="AD83" s="323" t="e">
        <f t="shared" ca="1" si="55"/>
        <v>#N/A</v>
      </c>
      <c r="AE83" s="324">
        <f t="shared" ca="1" si="34"/>
        <v>490.32083043153659</v>
      </c>
      <c r="AG83" s="306">
        <f t="shared" ca="1" si="56"/>
        <v>97.072378139537847</v>
      </c>
      <c r="AH83" s="304">
        <f t="shared" ca="1" si="57"/>
        <v>106.78361988334213</v>
      </c>
    </row>
    <row r="84" spans="1:34" x14ac:dyDescent="0.2">
      <c r="A84" s="347">
        <f t="shared" ca="1" si="35"/>
        <v>0.01</v>
      </c>
      <c r="B84" s="304">
        <f t="shared" ca="1" si="36"/>
        <v>4.7999999999999829</v>
      </c>
      <c r="D84" s="306">
        <f t="shared" ca="1" si="37"/>
        <v>15.086657470068554</v>
      </c>
      <c r="E84" s="307">
        <f t="shared" ca="1" si="38"/>
        <v>95.658387363935546</v>
      </c>
      <c r="F84" s="304">
        <f t="shared" ca="1" si="39"/>
        <v>96.840767792742739</v>
      </c>
      <c r="G84" s="306">
        <f t="shared" ca="1" si="40"/>
        <v>29.862945121092629</v>
      </c>
      <c r="H84" s="307">
        <f t="shared" ca="1" si="41"/>
        <v>208.66892941708906</v>
      </c>
      <c r="I84" s="304">
        <f t="shared" ca="1" si="42"/>
        <v>210.79496577333029</v>
      </c>
      <c r="J84" s="306">
        <f t="shared" ca="1" si="43"/>
        <v>62.158363476216998</v>
      </c>
      <c r="K84" s="307">
        <f t="shared" ca="1" si="44"/>
        <v>492.40273680633931</v>
      </c>
      <c r="L84" s="304">
        <f t="shared" ca="1" si="29"/>
        <v>496.31050499099308</v>
      </c>
      <c r="M84" s="306">
        <f t="shared" ca="1" si="45"/>
        <v>1.4286499095009899</v>
      </c>
      <c r="N84" s="304">
        <f t="shared" ca="1" si="46"/>
        <v>81.855610216153735</v>
      </c>
      <c r="P84" s="310">
        <f t="shared" ca="1" si="47"/>
        <v>3</v>
      </c>
      <c r="Q84" s="304">
        <f t="shared" ca="1" si="48"/>
        <v>763.19000000000199</v>
      </c>
      <c r="R84" s="306">
        <f t="shared" ca="1" si="49"/>
        <v>0.38300950266473083</v>
      </c>
      <c r="S84" s="307">
        <f t="shared" ca="1" si="50"/>
        <v>6.3653745828009543</v>
      </c>
      <c r="T84" s="304">
        <f t="shared" ca="1" si="30"/>
        <v>62.444324657277363</v>
      </c>
      <c r="U84" s="311">
        <f t="shared" ca="1" si="31"/>
        <v>0</v>
      </c>
      <c r="V84" s="306">
        <f t="shared" ca="1" si="32"/>
        <v>1.1661300509427943</v>
      </c>
      <c r="W84" s="304">
        <f t="shared" ca="1" si="33"/>
        <v>85.779106998482774</v>
      </c>
      <c r="Y84" s="314" t="str">
        <f t="shared" ca="1" si="51"/>
        <v/>
      </c>
      <c r="Z84" s="315" t="str">
        <f t="shared" ca="1" si="52"/>
        <v/>
      </c>
      <c r="AA84" s="316" t="str">
        <f t="shared" ca="1" si="53"/>
        <v/>
      </c>
      <c r="AC84" s="310" t="e">
        <f t="shared" ca="1" si="54"/>
        <v>#N/A</v>
      </c>
      <c r="AD84" s="323" t="e">
        <f t="shared" ca="1" si="55"/>
        <v>#N/A</v>
      </c>
      <c r="AE84" s="324">
        <f t="shared" ca="1" si="34"/>
        <v>492.40273680633931</v>
      </c>
      <c r="AG84" s="306">
        <f t="shared" ca="1" si="56"/>
        <v>96.83080417901887</v>
      </c>
      <c r="AH84" s="304">
        <f t="shared" ca="1" si="57"/>
        <v>106.54195402172955</v>
      </c>
    </row>
    <row r="85" spans="1:34" x14ac:dyDescent="0.2">
      <c r="A85" s="347">
        <f t="shared" ca="1" si="35"/>
        <v>0.01</v>
      </c>
      <c r="B85" s="304">
        <f t="shared" ca="1" si="36"/>
        <v>4.8099999999999827</v>
      </c>
      <c r="D85" s="306">
        <f t="shared" ca="1" si="37"/>
        <v>15.059287884859881</v>
      </c>
      <c r="E85" s="307">
        <f t="shared" ca="1" si="38"/>
        <v>95.417581136929584</v>
      </c>
      <c r="F85" s="304">
        <f t="shared" ca="1" si="39"/>
        <v>96.598638404594638</v>
      </c>
      <c r="G85" s="306">
        <f t="shared" ca="1" si="40"/>
        <v>30.013537999941228</v>
      </c>
      <c r="H85" s="307">
        <f t="shared" ca="1" si="41"/>
        <v>209.62310522845834</v>
      </c>
      <c r="I85" s="304">
        <f t="shared" ca="1" si="42"/>
        <v>211.76085263545579</v>
      </c>
      <c r="J85" s="306">
        <f t="shared" ca="1" si="43"/>
        <v>62.457745891822164</v>
      </c>
      <c r="K85" s="307">
        <f t="shared" ca="1" si="44"/>
        <v>494.49419697956705</v>
      </c>
      <c r="L85" s="304">
        <f t="shared" ca="1" si="29"/>
        <v>498.4229939201785</v>
      </c>
      <c r="M85" s="306">
        <f t="shared" ca="1" si="45"/>
        <v>1.4285842805092672</v>
      </c>
      <c r="N85" s="304">
        <f t="shared" ca="1" si="46"/>
        <v>81.851849951914318</v>
      </c>
      <c r="P85" s="310">
        <f t="shared" ca="1" si="47"/>
        <v>3</v>
      </c>
      <c r="Q85" s="304">
        <f t="shared" ca="1" si="48"/>
        <v>762.01000000000204</v>
      </c>
      <c r="R85" s="306">
        <f t="shared" ca="1" si="49"/>
        <v>0.38241731564296122</v>
      </c>
      <c r="S85" s="307">
        <f t="shared" ca="1" si="50"/>
        <v>6.3615504096445248</v>
      </c>
      <c r="T85" s="304">
        <f t="shared" ca="1" si="30"/>
        <v>62.406809518612789</v>
      </c>
      <c r="U85" s="311">
        <f t="shared" ca="1" si="31"/>
        <v>0</v>
      </c>
      <c r="V85" s="306">
        <f t="shared" ca="1" si="32"/>
        <v>1.1658860364663948</v>
      </c>
      <c r="W85" s="304">
        <f t="shared" ca="1" si="33"/>
        <v>86.548893257633097</v>
      </c>
      <c r="Y85" s="314" t="str">
        <f t="shared" ca="1" si="51"/>
        <v/>
      </c>
      <c r="Z85" s="315" t="str">
        <f t="shared" ca="1" si="52"/>
        <v/>
      </c>
      <c r="AA85" s="316" t="str">
        <f t="shared" ca="1" si="53"/>
        <v/>
      </c>
      <c r="AC85" s="310" t="e">
        <f t="shared" ca="1" si="54"/>
        <v>#N/A</v>
      </c>
      <c r="AD85" s="323" t="e">
        <f t="shared" ca="1" si="55"/>
        <v>#N/A</v>
      </c>
      <c r="AE85" s="324">
        <f t="shared" ca="1" si="34"/>
        <v>494.49419697956705</v>
      </c>
      <c r="AG85" s="306">
        <f t="shared" ca="1" si="56"/>
        <v>96.588640608112783</v>
      </c>
      <c r="AH85" s="304">
        <f t="shared" ca="1" si="57"/>
        <v>106.29969888728841</v>
      </c>
    </row>
    <row r="86" spans="1:34" x14ac:dyDescent="0.2">
      <c r="A86" s="347">
        <f t="shared" ca="1" si="35"/>
        <v>0.01</v>
      </c>
      <c r="B86" s="304">
        <f t="shared" ca="1" si="36"/>
        <v>4.8199999999999825</v>
      </c>
      <c r="D86" s="306">
        <f t="shared" ca="1" si="37"/>
        <v>15.03177544588816</v>
      </c>
      <c r="E86" s="307">
        <f t="shared" ca="1" si="38"/>
        <v>95.176204761002893</v>
      </c>
      <c r="F86" s="304">
        <f t="shared" ca="1" si="39"/>
        <v>96.355924705043208</v>
      </c>
      <c r="G86" s="306">
        <f t="shared" ca="1" si="40"/>
        <v>30.16385575440011</v>
      </c>
      <c r="H86" s="307">
        <f t="shared" ca="1" si="41"/>
        <v>210.57486727606837</v>
      </c>
      <c r="I86" s="304">
        <f t="shared" ca="1" si="42"/>
        <v>212.72431201511986</v>
      </c>
      <c r="J86" s="306">
        <f t="shared" ca="1" si="43"/>
        <v>62.75863286059387</v>
      </c>
      <c r="K86" s="307">
        <f t="shared" ca="1" si="44"/>
        <v>496.59518684208967</v>
      </c>
      <c r="L86" s="304">
        <f t="shared" ca="1" si="29"/>
        <v>500.54512842825744</v>
      </c>
      <c r="M86" s="306">
        <f t="shared" ca="1" si="45"/>
        <v>1.4285189188007124</v>
      </c>
      <c r="N86" s="304">
        <f t="shared" ca="1" si="46"/>
        <v>81.848105001872369</v>
      </c>
      <c r="P86" s="310">
        <f t="shared" ca="1" si="47"/>
        <v>3</v>
      </c>
      <c r="Q86" s="304">
        <f t="shared" ca="1" si="48"/>
        <v>760.83000000000209</v>
      </c>
      <c r="R86" s="306">
        <f t="shared" ca="1" si="49"/>
        <v>0.38182512862119156</v>
      </c>
      <c r="S86" s="307">
        <f t="shared" ca="1" si="50"/>
        <v>6.3577321583583126</v>
      </c>
      <c r="T86" s="304">
        <f t="shared" ca="1" si="30"/>
        <v>62.369352473495049</v>
      </c>
      <c r="U86" s="311">
        <f t="shared" ca="1" si="31"/>
        <v>0</v>
      </c>
      <c r="V86" s="306">
        <f t="shared" ca="1" si="32"/>
        <v>1.1656409602828006</v>
      </c>
      <c r="W86" s="304">
        <f t="shared" ca="1" si="33"/>
        <v>87.319877837841503</v>
      </c>
      <c r="Y86" s="314" t="str">
        <f t="shared" ca="1" si="51"/>
        <v/>
      </c>
      <c r="Z86" s="315" t="str">
        <f t="shared" ca="1" si="52"/>
        <v/>
      </c>
      <c r="AA86" s="316" t="str">
        <f t="shared" ca="1" si="53"/>
        <v/>
      </c>
      <c r="AC86" s="310" t="e">
        <f t="shared" ca="1" si="54"/>
        <v>#N/A</v>
      </c>
      <c r="AD86" s="323" t="e">
        <f t="shared" ca="1" si="55"/>
        <v>#N/A</v>
      </c>
      <c r="AE86" s="324">
        <f t="shared" ca="1" si="34"/>
        <v>496.59518684208967</v>
      </c>
      <c r="AG86" s="306">
        <f t="shared" ca="1" si="56"/>
        <v>96.345892526864205</v>
      </c>
      <c r="AH86" s="304">
        <f t="shared" ca="1" si="57"/>
        <v>106.05685957624256</v>
      </c>
    </row>
    <row r="87" spans="1:34" x14ac:dyDescent="0.2">
      <c r="A87" s="347">
        <f t="shared" ca="1" si="35"/>
        <v>0.01</v>
      </c>
      <c r="B87" s="304">
        <f t="shared" ca="1" si="36"/>
        <v>4.8299999999999823</v>
      </c>
      <c r="D87" s="306">
        <f t="shared" ca="1" si="37"/>
        <v>15.00412128155264</v>
      </c>
      <c r="E87" s="307">
        <f t="shared" ca="1" si="38"/>
        <v>94.93426323949295</v>
      </c>
      <c r="F87" s="304">
        <f t="shared" ca="1" si="39"/>
        <v>96.112631803821102</v>
      </c>
      <c r="G87" s="306">
        <f t="shared" ca="1" si="40"/>
        <v>30.313896967215637</v>
      </c>
      <c r="H87" s="307">
        <f t="shared" ca="1" si="41"/>
        <v>211.52420990846329</v>
      </c>
      <c r="I87" s="304">
        <f t="shared" ca="1" si="42"/>
        <v>213.685338118315</v>
      </c>
      <c r="J87" s="306">
        <f t="shared" ca="1" si="43"/>
        <v>63.061021624201949</v>
      </c>
      <c r="K87" s="307">
        <f t="shared" ca="1" si="44"/>
        <v>498.70568222801234</v>
      </c>
      <c r="L87" s="304">
        <f t="shared" ca="1" si="29"/>
        <v>502.67688422563782</v>
      </c>
      <c r="M87" s="306">
        <f t="shared" ca="1" si="45"/>
        <v>1.4284538213455891</v>
      </c>
      <c r="N87" s="304">
        <f t="shared" ca="1" si="46"/>
        <v>81.844375192436758</v>
      </c>
      <c r="P87" s="310">
        <f t="shared" ca="1" si="47"/>
        <v>3</v>
      </c>
      <c r="Q87" s="304">
        <f t="shared" ca="1" si="48"/>
        <v>759.65000000000202</v>
      </c>
      <c r="R87" s="306">
        <f t="shared" ca="1" si="49"/>
        <v>0.38123294159942189</v>
      </c>
      <c r="S87" s="307">
        <f t="shared" ca="1" si="50"/>
        <v>6.3539198289423187</v>
      </c>
      <c r="T87" s="304">
        <f t="shared" ca="1" si="30"/>
        <v>62.331953521924149</v>
      </c>
      <c r="U87" s="311">
        <f t="shared" ca="1" si="31"/>
        <v>0</v>
      </c>
      <c r="V87" s="306">
        <f t="shared" ca="1" si="32"/>
        <v>1.1653948258783025</v>
      </c>
      <c r="W87" s="304">
        <f t="shared" ca="1" si="33"/>
        <v>88.092025982569183</v>
      </c>
      <c r="Y87" s="314" t="str">
        <f t="shared" ca="1" si="51"/>
        <v/>
      </c>
      <c r="Z87" s="315" t="str">
        <f t="shared" ca="1" si="52"/>
        <v/>
      </c>
      <c r="AA87" s="316" t="str">
        <f t="shared" ca="1" si="53"/>
        <v/>
      </c>
      <c r="AC87" s="310" t="e">
        <f t="shared" ca="1" si="54"/>
        <v>#N/A</v>
      </c>
      <c r="AD87" s="323" t="e">
        <f t="shared" ca="1" si="55"/>
        <v>#N/A</v>
      </c>
      <c r="AE87" s="324">
        <f t="shared" ca="1" si="34"/>
        <v>498.70568222801234</v>
      </c>
      <c r="AG87" s="306">
        <f t="shared" ca="1" si="56"/>
        <v>96.102565043025194</v>
      </c>
      <c r="AH87" s="304">
        <f t="shared" ca="1" si="57"/>
        <v>105.8134411925807</v>
      </c>
    </row>
    <row r="88" spans="1:34" x14ac:dyDescent="0.2">
      <c r="A88" s="347">
        <f t="shared" ca="1" si="35"/>
        <v>0.01</v>
      </c>
      <c r="B88" s="304">
        <f t="shared" ca="1" si="36"/>
        <v>4.8399999999999821</v>
      </c>
      <c r="D88" s="306">
        <f t="shared" ca="1" si="37"/>
        <v>14.976326515598535</v>
      </c>
      <c r="E88" s="307">
        <f t="shared" ca="1" si="38"/>
        <v>94.691761583776923</v>
      </c>
      <c r="F88" s="304">
        <f t="shared" ca="1" si="39"/>
        <v>95.868764818060896</v>
      </c>
      <c r="G88" s="306">
        <f t="shared" ca="1" si="40"/>
        <v>30.463660232371623</v>
      </c>
      <c r="H88" s="307">
        <f t="shared" ca="1" si="41"/>
        <v>212.47112752430107</v>
      </c>
      <c r="I88" s="304">
        <f t="shared" ca="1" si="42"/>
        <v>214.64392520218499</v>
      </c>
      <c r="J88" s="306">
        <f t="shared" ca="1" si="43"/>
        <v>63.364909410199886</v>
      </c>
      <c r="K88" s="307">
        <f t="shared" ca="1" si="44"/>
        <v>500.82565891517618</v>
      </c>
      <c r="L88" s="304">
        <f t="shared" ca="1" si="29"/>
        <v>504.81823696493296</v>
      </c>
      <c r="M88" s="306">
        <f t="shared" ca="1" si="45"/>
        <v>1.4283889851607345</v>
      </c>
      <c r="N88" s="304">
        <f t="shared" ca="1" si="46"/>
        <v>81.840660352684864</v>
      </c>
      <c r="P88" s="310">
        <f t="shared" ca="1" si="47"/>
        <v>3</v>
      </c>
      <c r="Q88" s="304">
        <f t="shared" ca="1" si="48"/>
        <v>758.47000000000207</v>
      </c>
      <c r="R88" s="306">
        <f t="shared" ca="1" si="49"/>
        <v>0.38064075457765223</v>
      </c>
      <c r="S88" s="307">
        <f t="shared" ca="1" si="50"/>
        <v>6.350113421396542</v>
      </c>
      <c r="T88" s="304">
        <f t="shared" ca="1" si="30"/>
        <v>62.294612663900082</v>
      </c>
      <c r="U88" s="311">
        <f t="shared" ca="1" si="31"/>
        <v>0</v>
      </c>
      <c r="V88" s="306">
        <f t="shared" ca="1" si="32"/>
        <v>1.1651476367461044</v>
      </c>
      <c r="W88" s="304">
        <f t="shared" ca="1" si="33"/>
        <v>88.865302988367858</v>
      </c>
      <c r="Y88" s="314" t="str">
        <f t="shared" ca="1" si="51"/>
        <v/>
      </c>
      <c r="Z88" s="315" t="str">
        <f t="shared" ca="1" si="52"/>
        <v/>
      </c>
      <c r="AA88" s="316" t="str">
        <f t="shared" ca="1" si="53"/>
        <v/>
      </c>
      <c r="AC88" s="310" t="e">
        <f t="shared" ca="1" si="54"/>
        <v>#N/A</v>
      </c>
      <c r="AD88" s="323" t="e">
        <f t="shared" ca="1" si="55"/>
        <v>#N/A</v>
      </c>
      <c r="AE88" s="324">
        <f t="shared" ca="1" si="34"/>
        <v>500.82565891517618</v>
      </c>
      <c r="AG88" s="306">
        <f t="shared" ca="1" si="56"/>
        <v>95.858663271734201</v>
      </c>
      <c r="AH88" s="304">
        <f t="shared" ca="1" si="57"/>
        <v>105.56944884773424</v>
      </c>
    </row>
    <row r="89" spans="1:34" x14ac:dyDescent="0.2">
      <c r="A89" s="347">
        <f t="shared" ca="1" si="35"/>
        <v>0.01</v>
      </c>
      <c r="B89" s="304">
        <f t="shared" ca="1" si="36"/>
        <v>4.8499999999999819</v>
      </c>
      <c r="D89" s="306">
        <f t="shared" ca="1" si="37"/>
        <v>14.948392267204259</v>
      </c>
      <c r="E89" s="307">
        <f t="shared" ca="1" si="38"/>
        <v>94.448704812936725</v>
      </c>
      <c r="F89" s="304">
        <f t="shared" ca="1" si="39"/>
        <v>95.624328871974143</v>
      </c>
      <c r="G89" s="306">
        <f t="shared" ca="1" si="40"/>
        <v>30.613144155043667</v>
      </c>
      <c r="H89" s="307">
        <f t="shared" ca="1" si="41"/>
        <v>213.41561457243043</v>
      </c>
      <c r="I89" s="304">
        <f t="shared" ca="1" si="42"/>
        <v>215.6000675750953</v>
      </c>
      <c r="J89" s="306">
        <f t="shared" ca="1" si="43"/>
        <v>63.670293432136965</v>
      </c>
      <c r="K89" s="307">
        <f t="shared" ca="1" si="44"/>
        <v>502.95509262565986</v>
      </c>
      <c r="L89" s="304">
        <f t="shared" ca="1" si="29"/>
        <v>506.96916224147259</v>
      </c>
      <c r="M89" s="306">
        <f t="shared" ca="1" si="45"/>
        <v>1.4283244073085914</v>
      </c>
      <c r="N89" s="304">
        <f t="shared" ca="1" si="46"/>
        <v>81.836960314307049</v>
      </c>
      <c r="P89" s="310">
        <f t="shared" ca="1" si="47"/>
        <v>3</v>
      </c>
      <c r="Q89" s="304">
        <f t="shared" ca="1" si="48"/>
        <v>757.29000000000212</v>
      </c>
      <c r="R89" s="306">
        <f t="shared" ca="1" si="49"/>
        <v>0.38004856755588262</v>
      </c>
      <c r="S89" s="307">
        <f t="shared" ca="1" si="50"/>
        <v>6.3463129357209835</v>
      </c>
      <c r="T89" s="304">
        <f t="shared" ca="1" si="30"/>
        <v>62.257329899422849</v>
      </c>
      <c r="U89" s="311">
        <f t="shared" ca="1" si="31"/>
        <v>0</v>
      </c>
      <c r="V89" s="306">
        <f t="shared" ca="1" si="32"/>
        <v>1.164899396386228</v>
      </c>
      <c r="W89" s="304">
        <f t="shared" ca="1" si="33"/>
        <v>89.639674206751025</v>
      </c>
      <c r="Y89" s="314" t="str">
        <f t="shared" ca="1" si="51"/>
        <v/>
      </c>
      <c r="Z89" s="315" t="str">
        <f t="shared" ca="1" si="52"/>
        <v/>
      </c>
      <c r="AA89" s="316" t="str">
        <f t="shared" ca="1" si="53"/>
        <v/>
      </c>
      <c r="AC89" s="310" t="e">
        <f t="shared" ca="1" si="54"/>
        <v>#N/A</v>
      </c>
      <c r="AD89" s="323" t="e">
        <f t="shared" ca="1" si="55"/>
        <v>#N/A</v>
      </c>
      <c r="AE89" s="324">
        <f t="shared" ca="1" si="34"/>
        <v>502.95509262565986</v>
      </c>
      <c r="AG89" s="306">
        <f t="shared" ca="1" si="56"/>
        <v>95.614192335194744</v>
      </c>
      <c r="AH89" s="304">
        <f t="shared" ca="1" si="57"/>
        <v>105.32488766025477</v>
      </c>
    </row>
    <row r="90" spans="1:34" x14ac:dyDescent="0.2">
      <c r="A90" s="347">
        <f t="shared" ca="1" si="35"/>
        <v>0.01</v>
      </c>
      <c r="B90" s="304">
        <f t="shared" ca="1" si="36"/>
        <v>4.8599999999999817</v>
      </c>
      <c r="D90" s="306">
        <f t="shared" ca="1" si="37"/>
        <v>14.92031965106527</v>
      </c>
      <c r="E90" s="307">
        <f t="shared" ca="1" si="38"/>
        <v>94.205097953425593</v>
      </c>
      <c r="F90" s="304">
        <f t="shared" ca="1" si="39"/>
        <v>95.379329096531578</v>
      </c>
      <c r="G90" s="306">
        <f t="shared" ca="1" si="40"/>
        <v>30.762347351554318</v>
      </c>
      <c r="H90" s="307">
        <f t="shared" ca="1" si="41"/>
        <v>214.35766555196469</v>
      </c>
      <c r="I90" s="304">
        <f t="shared" ca="1" si="42"/>
        <v>216.55375959670067</v>
      </c>
      <c r="J90" s="306">
        <f t="shared" ca="1" si="43"/>
        <v>63.977170889669956</v>
      </c>
      <c r="K90" s="307">
        <f t="shared" ca="1" si="44"/>
        <v>505.09395902628182</v>
      </c>
      <c r="L90" s="304">
        <f t="shared" ca="1" si="29"/>
        <v>509.12963559381348</v>
      </c>
      <c r="M90" s="306">
        <f t="shared" ca="1" si="45"/>
        <v>1.4282600848962668</v>
      </c>
      <c r="N90" s="304">
        <f t="shared" ca="1" si="46"/>
        <v>81.833274911552735</v>
      </c>
      <c r="P90" s="310">
        <f t="shared" ca="1" si="47"/>
        <v>3</v>
      </c>
      <c r="Q90" s="304">
        <f t="shared" ca="1" si="48"/>
        <v>756.11000000000217</v>
      </c>
      <c r="R90" s="306">
        <f t="shared" ca="1" si="49"/>
        <v>0.37945638053411301</v>
      </c>
      <c r="S90" s="307">
        <f t="shared" ca="1" si="50"/>
        <v>6.3425183719156424</v>
      </c>
      <c r="T90" s="304">
        <f t="shared" ca="1" si="30"/>
        <v>62.220105228492457</v>
      </c>
      <c r="U90" s="311">
        <f t="shared" ca="1" si="31"/>
        <v>0</v>
      </c>
      <c r="V90" s="306">
        <f t="shared" ca="1" si="32"/>
        <v>1.1646501083054217</v>
      </c>
      <c r="W90" s="304">
        <f t="shared" ca="1" si="33"/>
        <v>90.415105046054279</v>
      </c>
      <c r="Y90" s="314" t="str">
        <f t="shared" ca="1" si="51"/>
        <v/>
      </c>
      <c r="Z90" s="315" t="str">
        <f t="shared" ca="1" si="52"/>
        <v/>
      </c>
      <c r="AA90" s="316" t="str">
        <f t="shared" ca="1" si="53"/>
        <v/>
      </c>
      <c r="AC90" s="310" t="e">
        <f t="shared" ca="1" si="54"/>
        <v>#N/A</v>
      </c>
      <c r="AD90" s="323" t="e">
        <f t="shared" ca="1" si="55"/>
        <v>#N/A</v>
      </c>
      <c r="AE90" s="324">
        <f t="shared" ca="1" si="34"/>
        <v>505.09395902628182</v>
      </c>
      <c r="AG90" s="306">
        <f t="shared" ca="1" si="56"/>
        <v>95.369157362355409</v>
      </c>
      <c r="AH90" s="304">
        <f t="shared" ca="1" si="57"/>
        <v>105.07976275549296</v>
      </c>
    </row>
    <row r="91" spans="1:34" x14ac:dyDescent="0.2">
      <c r="A91" s="347">
        <f t="shared" ca="1" si="35"/>
        <v>0.01</v>
      </c>
      <c r="B91" s="304">
        <f t="shared" ca="1" si="36"/>
        <v>4.8699999999999815</v>
      </c>
      <c r="D91" s="306">
        <f t="shared" ca="1" si="37"/>
        <v>14.892109777474271</v>
      </c>
      <c r="E91" s="307">
        <f t="shared" ca="1" si="38"/>
        <v>93.960946038735315</v>
      </c>
      <c r="F91" s="304">
        <f t="shared" ca="1" si="39"/>
        <v>95.133770629143442</v>
      </c>
      <c r="G91" s="306">
        <f t="shared" ca="1" si="40"/>
        <v>30.911268449329061</v>
      </c>
      <c r="H91" s="307">
        <f t="shared" ca="1" si="41"/>
        <v>215.29727501235203</v>
      </c>
      <c r="I91" s="304">
        <f t="shared" ca="1" si="42"/>
        <v>217.50499567800927</v>
      </c>
      <c r="J91" s="306">
        <f t="shared" ca="1" si="43"/>
        <v>64.285538968674373</v>
      </c>
      <c r="K91" s="307">
        <f t="shared" ca="1" si="44"/>
        <v>507.24223372910342</v>
      </c>
      <c r="L91" s="304">
        <f t="shared" ca="1" si="29"/>
        <v>511.29963250425214</v>
      </c>
      <c r="M91" s="306">
        <f t="shared" ca="1" si="45"/>
        <v>1.4281960150746125</v>
      </c>
      <c r="N91" s="304">
        <f t="shared" ca="1" si="46"/>
        <v>81.829603981177797</v>
      </c>
      <c r="P91" s="310">
        <f t="shared" ca="1" si="47"/>
        <v>3</v>
      </c>
      <c r="Q91" s="304">
        <f t="shared" ca="1" si="48"/>
        <v>754.93000000000222</v>
      </c>
      <c r="R91" s="306">
        <f t="shared" ca="1" si="49"/>
        <v>0.37886419351234335</v>
      </c>
      <c r="S91" s="307">
        <f t="shared" ca="1" si="50"/>
        <v>6.3387297299805185</v>
      </c>
      <c r="T91" s="304">
        <f t="shared" ca="1" si="30"/>
        <v>62.182938651108891</v>
      </c>
      <c r="U91" s="311">
        <f t="shared" ca="1" si="31"/>
        <v>0</v>
      </c>
      <c r="V91" s="306">
        <f t="shared" ca="1" si="32"/>
        <v>1.1643997760170643</v>
      </c>
      <c r="W91" s="304">
        <f t="shared" ca="1" si="33"/>
        <v>91.191560973283259</v>
      </c>
      <c r="Y91" s="314" t="str">
        <f t="shared" ca="1" si="51"/>
        <v/>
      </c>
      <c r="Z91" s="315" t="str">
        <f t="shared" ca="1" si="52"/>
        <v/>
      </c>
      <c r="AA91" s="316" t="str">
        <f t="shared" ca="1" si="53"/>
        <v/>
      </c>
      <c r="AC91" s="310" t="e">
        <f t="shared" ca="1" si="54"/>
        <v>#N/A</v>
      </c>
      <c r="AD91" s="323" t="e">
        <f t="shared" ca="1" si="55"/>
        <v>#N/A</v>
      </c>
      <c r="AE91" s="324">
        <f t="shared" ca="1" si="34"/>
        <v>507.24223372910342</v>
      </c>
      <c r="AG91" s="306">
        <f t="shared" ca="1" si="56"/>
        <v>95.123563488589795</v>
      </c>
      <c r="AH91" s="304">
        <f t="shared" ca="1" si="57"/>
        <v>104.83407926527738</v>
      </c>
    </row>
    <row r="92" spans="1:34" x14ac:dyDescent="0.2">
      <c r="A92" s="347">
        <f t="shared" ca="1" si="35"/>
        <v>0.01</v>
      </c>
      <c r="B92" s="304">
        <f t="shared" ca="1" si="36"/>
        <v>4.8799999999999812</v>
      </c>
      <c r="D92" s="306">
        <f t="shared" ca="1" si="37"/>
        <v>14.863763752398405</v>
      </c>
      <c r="E92" s="307">
        <f t="shared" ca="1" si="38"/>
        <v>93.716254109064565</v>
      </c>
      <c r="F92" s="304">
        <f t="shared" ca="1" si="39"/>
        <v>94.887658613340619</v>
      </c>
      <c r="G92" s="306">
        <f t="shared" ca="1" si="40"/>
        <v>31.059906086853044</v>
      </c>
      <c r="H92" s="307">
        <f t="shared" ca="1" si="41"/>
        <v>216.23443755344269</v>
      </c>
      <c r="I92" s="304">
        <f t="shared" ca="1" si="42"/>
        <v>218.45377028144384</v>
      </c>
      <c r="J92" s="306">
        <f t="shared" ca="1" si="43"/>
        <v>64.595394841355287</v>
      </c>
      <c r="K92" s="307">
        <f t="shared" ca="1" si="44"/>
        <v>509.39989229193242</v>
      </c>
      <c r="L92" s="304">
        <f t="shared" ca="1" si="29"/>
        <v>513.47912839933713</v>
      </c>
      <c r="M92" s="306">
        <f t="shared" ca="1" si="45"/>
        <v>1.4281321950373318</v>
      </c>
      <c r="N92" s="304">
        <f t="shared" ca="1" si="46"/>
        <v>81.825947362393237</v>
      </c>
      <c r="P92" s="310">
        <f t="shared" ca="1" si="47"/>
        <v>3</v>
      </c>
      <c r="Q92" s="304">
        <f t="shared" ca="1" si="48"/>
        <v>753.75000000000216</v>
      </c>
      <c r="R92" s="306">
        <f t="shared" ca="1" si="49"/>
        <v>0.37827200649057369</v>
      </c>
      <c r="S92" s="307">
        <f t="shared" ca="1" si="50"/>
        <v>6.3349470099156129</v>
      </c>
      <c r="T92" s="304">
        <f t="shared" ca="1" si="30"/>
        <v>62.145830167272166</v>
      </c>
      <c r="U92" s="311">
        <f t="shared" ca="1" si="31"/>
        <v>0</v>
      </c>
      <c r="V92" s="306">
        <f t="shared" ca="1" si="32"/>
        <v>1.164148403041072</v>
      </c>
      <c r="W92" s="304">
        <f t="shared" ca="1" si="33"/>
        <v>91.969007515950281</v>
      </c>
      <c r="Y92" s="314" t="str">
        <f t="shared" ca="1" si="51"/>
        <v/>
      </c>
      <c r="Z92" s="315" t="str">
        <f t="shared" ca="1" si="52"/>
        <v/>
      </c>
      <c r="AA92" s="316" t="str">
        <f t="shared" ca="1" si="53"/>
        <v/>
      </c>
      <c r="AC92" s="310" t="e">
        <f t="shared" ca="1" si="54"/>
        <v>#N/A</v>
      </c>
      <c r="AD92" s="323" t="e">
        <f t="shared" ca="1" si="55"/>
        <v>#N/A</v>
      </c>
      <c r="AE92" s="324">
        <f t="shared" ca="1" si="34"/>
        <v>509.39989229193242</v>
      </c>
      <c r="AG92" s="306">
        <f t="shared" ca="1" si="56"/>
        <v>94.877415855377322</v>
      </c>
      <c r="AH92" s="304">
        <f t="shared" ca="1" si="57"/>
        <v>104.58784232759427</v>
      </c>
    </row>
    <row r="93" spans="1:34" x14ac:dyDescent="0.2">
      <c r="A93" s="347">
        <f t="shared" ca="1" si="35"/>
        <v>0.01</v>
      </c>
      <c r="B93" s="304">
        <f t="shared" ca="1" si="36"/>
        <v>4.889999999999981</v>
      </c>
      <c r="D93" s="306">
        <f t="shared" ca="1" si="37"/>
        <v>14.835282677553026</v>
      </c>
      <c r="E93" s="307">
        <f t="shared" ca="1" si="38"/>
        <v>93.471027210988353</v>
      </c>
      <c r="F93" s="304">
        <f t="shared" ca="1" si="39"/>
        <v>94.640998198456415</v>
      </c>
      <c r="G93" s="306">
        <f t="shared" ca="1" si="40"/>
        <v>31.208258913628573</v>
      </c>
      <c r="H93" s="307">
        <f t="shared" ca="1" si="41"/>
        <v>217.16914782555259</v>
      </c>
      <c r="I93" s="304">
        <f t="shared" ca="1" si="42"/>
        <v>219.40007792089955</v>
      </c>
      <c r="J93" s="306">
        <f t="shared" ca="1" si="43"/>
        <v>64.90673566635769</v>
      </c>
      <c r="K93" s="307">
        <f t="shared" ca="1" si="44"/>
        <v>511.56691021882739</v>
      </c>
      <c r="L93" s="304">
        <f t="shared" ca="1" si="29"/>
        <v>515.66809865038215</v>
      </c>
      <c r="M93" s="306">
        <f t="shared" ca="1" si="45"/>
        <v>1.4280686220201069</v>
      </c>
      <c r="N93" s="304">
        <f t="shared" ca="1" si="46"/>
        <v>81.822304896815339</v>
      </c>
      <c r="P93" s="310">
        <f t="shared" ca="1" si="47"/>
        <v>3</v>
      </c>
      <c r="Q93" s="304">
        <f t="shared" ca="1" si="48"/>
        <v>752.57000000000221</v>
      </c>
      <c r="R93" s="306">
        <f t="shared" ca="1" si="49"/>
        <v>0.37767981946880408</v>
      </c>
      <c r="S93" s="307">
        <f t="shared" ca="1" si="50"/>
        <v>6.3311702117209245</v>
      </c>
      <c r="T93" s="304">
        <f t="shared" ca="1" si="30"/>
        <v>62.108779776982274</v>
      </c>
      <c r="U93" s="311">
        <f t="shared" ca="1" si="31"/>
        <v>0</v>
      </c>
      <c r="V93" s="306">
        <f t="shared" ca="1" si="32"/>
        <v>1.1638959929038033</v>
      </c>
      <c r="W93" s="304">
        <f t="shared" ca="1" si="33"/>
        <v>92.747410263898516</v>
      </c>
      <c r="Y93" s="314" t="str">
        <f t="shared" ca="1" si="51"/>
        <v/>
      </c>
      <c r="Z93" s="315" t="str">
        <f t="shared" ca="1" si="52"/>
        <v/>
      </c>
      <c r="AA93" s="316" t="str">
        <f t="shared" ca="1" si="53"/>
        <v/>
      </c>
      <c r="AC93" s="310" t="e">
        <f t="shared" ca="1" si="54"/>
        <v>#N/A</v>
      </c>
      <c r="AD93" s="323" t="e">
        <f t="shared" ca="1" si="55"/>
        <v>#N/A</v>
      </c>
      <c r="AE93" s="324">
        <f t="shared" ca="1" si="34"/>
        <v>511.56691021882739</v>
      </c>
      <c r="AG93" s="306">
        <f t="shared" ca="1" si="56"/>
        <v>94.630719609984681</v>
      </c>
      <c r="AH93" s="304">
        <f t="shared" ca="1" si="57"/>
        <v>104.34105708626792</v>
      </c>
    </row>
    <row r="94" spans="1:34" x14ac:dyDescent="0.2">
      <c r="A94" s="347">
        <f t="shared" ca="1" si="35"/>
        <v>0.01</v>
      </c>
      <c r="B94" s="304">
        <f t="shared" ca="1" si="36"/>
        <v>4.8999999999999808</v>
      </c>
      <c r="D94" s="306">
        <f t="shared" ca="1" si="37"/>
        <v>14.806667650472578</v>
      </c>
      <c r="E94" s="307">
        <f t="shared" ca="1" si="38"/>
        <v>93.225270397128213</v>
      </c>
      <c r="F94" s="304">
        <f t="shared" ca="1" si="39"/>
        <v>94.393794539308672</v>
      </c>
      <c r="G94" s="306">
        <f t="shared" ca="1" si="40"/>
        <v>31.356325590133299</v>
      </c>
      <c r="H94" s="307">
        <f t="shared" ca="1" si="41"/>
        <v>218.10140052952386</v>
      </c>
      <c r="I94" s="304">
        <f t="shared" ca="1" si="42"/>
        <v>220.34391316179858</v>
      </c>
      <c r="J94" s="306">
        <f t="shared" ca="1" si="43"/>
        <v>65.219558588876495</v>
      </c>
      <c r="K94" s="307">
        <f t="shared" ca="1" si="44"/>
        <v>513.74326296060281</v>
      </c>
      <c r="L94" s="304">
        <f t="shared" ca="1" si="29"/>
        <v>517.86651857398056</v>
      </c>
      <c r="M94" s="306">
        <f t="shared" ca="1" si="45"/>
        <v>1.4280052932997496</v>
      </c>
      <c r="N94" s="304">
        <f t="shared" ca="1" si="46"/>
        <v>81.818676428416907</v>
      </c>
      <c r="P94" s="310">
        <f t="shared" ca="1" si="47"/>
        <v>3</v>
      </c>
      <c r="Q94" s="304">
        <f t="shared" ca="1" si="48"/>
        <v>751.39000000000226</v>
      </c>
      <c r="R94" s="306">
        <f t="shared" ca="1" si="49"/>
        <v>0.37708763244703442</v>
      </c>
      <c r="S94" s="307">
        <f t="shared" ca="1" si="50"/>
        <v>6.3273993353964544</v>
      </c>
      <c r="T94" s="304">
        <f t="shared" ca="1" si="30"/>
        <v>62.071787480239223</v>
      </c>
      <c r="U94" s="311">
        <f t="shared" ca="1" si="31"/>
        <v>0</v>
      </c>
      <c r="V94" s="306">
        <f t="shared" ca="1" si="32"/>
        <v>1.1636425491379663</v>
      </c>
      <c r="W94" s="304">
        <f t="shared" ca="1" si="33"/>
        <v>93.526734871114371</v>
      </c>
      <c r="Y94" s="314" t="str">
        <f t="shared" ca="1" si="51"/>
        <v/>
      </c>
      <c r="Z94" s="315" t="str">
        <f t="shared" ca="1" si="52"/>
        <v/>
      </c>
      <c r="AA94" s="316" t="str">
        <f t="shared" ca="1" si="53"/>
        <v/>
      </c>
      <c r="AC94" s="310" t="e">
        <f t="shared" ca="1" si="54"/>
        <v>#N/A</v>
      </c>
      <c r="AD94" s="323" t="e">
        <f t="shared" ca="1" si="55"/>
        <v>#N/A</v>
      </c>
      <c r="AE94" s="324">
        <f t="shared" ca="1" si="34"/>
        <v>513.74326296060281</v>
      </c>
      <c r="AG94" s="306">
        <f t="shared" ca="1" si="56"/>
        <v>94.383479905147638</v>
      </c>
      <c r="AH94" s="304">
        <f t="shared" ca="1" si="57"/>
        <v>104.09372869064148</v>
      </c>
    </row>
    <row r="95" spans="1:34" x14ac:dyDescent="0.2">
      <c r="A95" s="347">
        <f t="shared" ca="1" si="35"/>
        <v>0.01</v>
      </c>
      <c r="B95" s="304">
        <f t="shared" ca="1" si="36"/>
        <v>4.9099999999999806</v>
      </c>
      <c r="D95" s="306">
        <f t="shared" ca="1" si="37"/>
        <v>14.777919764578359</v>
      </c>
      <c r="E95" s="307">
        <f t="shared" ca="1" si="38"/>
        <v>92.978988725823797</v>
      </c>
      <c r="F95" s="304">
        <f t="shared" ca="1" si="39"/>
        <v>94.14605279588298</v>
      </c>
      <c r="G95" s="306">
        <f t="shared" ca="1" si="40"/>
        <v>31.504104787779081</v>
      </c>
      <c r="H95" s="307">
        <f t="shared" ca="1" si="41"/>
        <v>219.0311904167821</v>
      </c>
      <c r="I95" s="304">
        <f t="shared" ca="1" si="42"/>
        <v>221.28527062114193</v>
      </c>
      <c r="J95" s="306">
        <f t="shared" ca="1" si="43"/>
        <v>65.533860740766059</v>
      </c>
      <c r="K95" s="307">
        <f t="shared" ca="1" si="44"/>
        <v>515.92892591533439</v>
      </c>
      <c r="L95" s="304">
        <f t="shared" ca="1" si="29"/>
        <v>520.07436343251982</v>
      </c>
      <c r="M95" s="306">
        <f t="shared" ca="1" si="45"/>
        <v>1.4279422061933726</v>
      </c>
      <c r="N95" s="304">
        <f t="shared" ca="1" si="46"/>
        <v>81.815061803479821</v>
      </c>
      <c r="P95" s="310">
        <f t="shared" ca="1" si="47"/>
        <v>3</v>
      </c>
      <c r="Q95" s="304">
        <f t="shared" ca="1" si="48"/>
        <v>750.21000000000231</v>
      </c>
      <c r="R95" s="306">
        <f t="shared" ca="1" si="49"/>
        <v>0.37649544542526481</v>
      </c>
      <c r="S95" s="307">
        <f t="shared" ca="1" si="50"/>
        <v>6.3236343809422015</v>
      </c>
      <c r="T95" s="304">
        <f t="shared" ca="1" si="30"/>
        <v>62.034853277042998</v>
      </c>
      <c r="U95" s="311">
        <f t="shared" ca="1" si="31"/>
        <v>0</v>
      </c>
      <c r="V95" s="306">
        <f t="shared" ca="1" si="32"/>
        <v>1.1633880752825247</v>
      </c>
      <c r="W95" s="304">
        <f t="shared" ca="1" si="33"/>
        <v>94.30694705752758</v>
      </c>
      <c r="Y95" s="314" t="str">
        <f t="shared" ca="1" si="51"/>
        <v/>
      </c>
      <c r="Z95" s="315" t="str">
        <f t="shared" ca="1" si="52"/>
        <v/>
      </c>
      <c r="AA95" s="316" t="str">
        <f t="shared" ca="1" si="53"/>
        <v/>
      </c>
      <c r="AC95" s="310" t="e">
        <f t="shared" ca="1" si="54"/>
        <v>#N/A</v>
      </c>
      <c r="AD95" s="323" t="e">
        <f t="shared" ca="1" si="55"/>
        <v>#N/A</v>
      </c>
      <c r="AE95" s="324">
        <f t="shared" ca="1" si="34"/>
        <v>515.92892591533439</v>
      </c>
      <c r="AG95" s="306">
        <f t="shared" ca="1" si="56"/>
        <v>94.135701898753808</v>
      </c>
      <c r="AH95" s="304">
        <f t="shared" ca="1" si="57"/>
        <v>103.84586229525878</v>
      </c>
    </row>
    <row r="96" spans="1:34" x14ac:dyDescent="0.2">
      <c r="A96" s="347">
        <f t="shared" ca="1" si="35"/>
        <v>0.01</v>
      </c>
      <c r="B96" s="304">
        <f t="shared" ca="1" si="36"/>
        <v>4.9199999999999804</v>
      </c>
      <c r="D96" s="306">
        <f t="shared" ca="1" si="37"/>
        <v>14.749040109243529</v>
      </c>
      <c r="E96" s="307">
        <f t="shared" ca="1" si="38"/>
        <v>92.732187260805276</v>
      </c>
      <c r="F96" s="304">
        <f t="shared" ca="1" si="39"/>
        <v>93.897778133016175</v>
      </c>
      <c r="G96" s="306">
        <f t="shared" ca="1" si="40"/>
        <v>31.651595188871518</v>
      </c>
      <c r="H96" s="307">
        <f t="shared" ca="1" si="41"/>
        <v>219.95851228939014</v>
      </c>
      <c r="I96" s="304">
        <f t="shared" ca="1" si="42"/>
        <v>222.22414496755744</v>
      </c>
      <c r="J96" s="306">
        <f t="shared" ca="1" si="43"/>
        <v>65.84963924064931</v>
      </c>
      <c r="K96" s="307">
        <f t="shared" ca="1" si="44"/>
        <v>518.12387442886529</v>
      </c>
      <c r="L96" s="304">
        <f t="shared" ca="1" si="29"/>
        <v>522.2916084346964</v>
      </c>
      <c r="M96" s="306">
        <f t="shared" ca="1" si="45"/>
        <v>1.427879358057583</v>
      </c>
      <c r="N96" s="304">
        <f t="shared" ca="1" si="46"/>
        <v>81.8114608705488</v>
      </c>
      <c r="P96" s="310">
        <f t="shared" ca="1" si="47"/>
        <v>3</v>
      </c>
      <c r="Q96" s="304">
        <f t="shared" ca="1" si="48"/>
        <v>749.03000000000225</v>
      </c>
      <c r="R96" s="306">
        <f t="shared" ca="1" si="49"/>
        <v>0.37590325840349514</v>
      </c>
      <c r="S96" s="307">
        <f t="shared" ca="1" si="50"/>
        <v>6.3198753483581669</v>
      </c>
      <c r="T96" s="304">
        <f t="shared" ca="1" si="30"/>
        <v>61.997977167393621</v>
      </c>
      <c r="U96" s="311">
        <f t="shared" ca="1" si="31"/>
        <v>0</v>
      </c>
      <c r="V96" s="306">
        <f t="shared" ca="1" si="32"/>
        <v>1.1631325748826025</v>
      </c>
      <c r="W96" s="304">
        <f t="shared" ca="1" si="33"/>
        <v>95.088012610798202</v>
      </c>
      <c r="Y96" s="314" t="str">
        <f t="shared" ca="1" si="51"/>
        <v/>
      </c>
      <c r="Z96" s="315" t="str">
        <f t="shared" ca="1" si="52"/>
        <v/>
      </c>
      <c r="AA96" s="316" t="str">
        <f t="shared" ca="1" si="53"/>
        <v/>
      </c>
      <c r="AC96" s="310" t="e">
        <f t="shared" ca="1" si="54"/>
        <v>#N/A</v>
      </c>
      <c r="AD96" s="323" t="e">
        <f t="shared" ca="1" si="55"/>
        <v>#N/A</v>
      </c>
      <c r="AE96" s="324">
        <f t="shared" ca="1" si="34"/>
        <v>518.12387442886529</v>
      </c>
      <c r="AG96" s="306">
        <f t="shared" ca="1" si="56"/>
        <v>93.887390753526006</v>
      </c>
      <c r="AH96" s="304">
        <f t="shared" ca="1" si="57"/>
        <v>103.59746305954664</v>
      </c>
    </row>
    <row r="97" spans="1:34" x14ac:dyDescent="0.2">
      <c r="A97" s="347">
        <f t="shared" ca="1" si="35"/>
        <v>0.01</v>
      </c>
      <c r="B97" s="304">
        <f t="shared" ca="1" si="36"/>
        <v>4.9299999999999802</v>
      </c>
      <c r="D97" s="306">
        <f t="shared" ca="1" si="37"/>
        <v>14.720029769855213</v>
      </c>
      <c r="E97" s="307">
        <f t="shared" ca="1" si="38"/>
        <v>92.484871070867058</v>
      </c>
      <c r="F97" s="304">
        <f t="shared" ca="1" si="39"/>
        <v>93.648975720081026</v>
      </c>
      <c r="G97" s="306">
        <f t="shared" ca="1" si="40"/>
        <v>31.798795486570071</v>
      </c>
      <c r="H97" s="307">
        <f t="shared" ca="1" si="41"/>
        <v>220.8833610000988</v>
      </c>
      <c r="I97" s="304">
        <f t="shared" ca="1" si="42"/>
        <v>223.16053092134524</v>
      </c>
      <c r="J97" s="306">
        <f t="shared" ca="1" si="43"/>
        <v>66.166891194026519</v>
      </c>
      <c r="K97" s="307">
        <f t="shared" ca="1" si="44"/>
        <v>520.32808379531275</v>
      </c>
      <c r="L97" s="304">
        <f t="shared" ca="1" si="29"/>
        <v>524.5182287360318</v>
      </c>
      <c r="M97" s="306">
        <f t="shared" ca="1" si="45"/>
        <v>1.4278167462876936</v>
      </c>
      <c r="N97" s="304">
        <f t="shared" ca="1" si="46"/>
        <v>81.807873480386291</v>
      </c>
      <c r="P97" s="310">
        <f t="shared" ca="1" si="47"/>
        <v>3</v>
      </c>
      <c r="Q97" s="304">
        <f t="shared" ca="1" si="48"/>
        <v>747.8500000000023</v>
      </c>
      <c r="R97" s="306">
        <f t="shared" ca="1" si="49"/>
        <v>0.37531107138172548</v>
      </c>
      <c r="S97" s="307">
        <f t="shared" ca="1" si="50"/>
        <v>6.3161222376443495</v>
      </c>
      <c r="T97" s="304">
        <f t="shared" ca="1" si="30"/>
        <v>61.961159151291071</v>
      </c>
      <c r="U97" s="311">
        <f t="shared" ca="1" si="31"/>
        <v>0</v>
      </c>
      <c r="V97" s="306">
        <f t="shared" ca="1" si="32"/>
        <v>1.1628760514893903</v>
      </c>
      <c r="W97" s="304">
        <f t="shared" ca="1" si="33"/>
        <v>95.869897388091971</v>
      </c>
      <c r="Y97" s="314" t="str">
        <f t="shared" ca="1" si="51"/>
        <v/>
      </c>
      <c r="Z97" s="315" t="str">
        <f t="shared" ca="1" si="52"/>
        <v/>
      </c>
      <c r="AA97" s="316" t="str">
        <f t="shared" ca="1" si="53"/>
        <v/>
      </c>
      <c r="AC97" s="310" t="e">
        <f t="shared" ca="1" si="54"/>
        <v>#N/A</v>
      </c>
      <c r="AD97" s="323" t="e">
        <f t="shared" ca="1" si="55"/>
        <v>#N/A</v>
      </c>
      <c r="AE97" s="324">
        <f t="shared" ca="1" si="34"/>
        <v>520.32808379531275</v>
      </c>
      <c r="AG97" s="306">
        <f t="shared" ca="1" si="56"/>
        <v>93.638551636706453</v>
      </c>
      <c r="AH97" s="304">
        <f t="shared" ca="1" si="57"/>
        <v>103.34853614749818</v>
      </c>
    </row>
    <row r="98" spans="1:34" x14ac:dyDescent="0.2">
      <c r="A98" s="347">
        <f t="shared" ca="1" si="35"/>
        <v>0.01</v>
      </c>
      <c r="B98" s="304">
        <f t="shared" ca="1" si="36"/>
        <v>4.93999999999998</v>
      </c>
      <c r="D98" s="306">
        <f t="shared" ca="1" si="37"/>
        <v>14.690889827874043</v>
      </c>
      <c r="E98" s="307">
        <f t="shared" ca="1" si="38"/>
        <v>92.23704522954236</v>
      </c>
      <c r="F98" s="304">
        <f t="shared" ca="1" si="39"/>
        <v>93.39965073067124</v>
      </c>
      <c r="G98" s="306">
        <f t="shared" ca="1" si="40"/>
        <v>31.945704384848813</v>
      </c>
      <c r="H98" s="307">
        <f t="shared" ca="1" si="41"/>
        <v>221.80573145239421</v>
      </c>
      <c r="I98" s="304">
        <f t="shared" ca="1" si="42"/>
        <v>224.09442325451957</v>
      </c>
      <c r="J98" s="306">
        <f t="shared" ca="1" si="43"/>
        <v>66.485613693383613</v>
      </c>
      <c r="K98" s="307">
        <f t="shared" ca="1" si="44"/>
        <v>522.54152925757523</v>
      </c>
      <c r="L98" s="304">
        <f t="shared" ca="1" si="29"/>
        <v>526.75419943938857</v>
      </c>
      <c r="M98" s="306">
        <f t="shared" ca="1" si="45"/>
        <v>1.4277543683169562</v>
      </c>
      <c r="N98" s="304">
        <f t="shared" ca="1" si="46"/>
        <v>81.804299485928453</v>
      </c>
      <c r="P98" s="310">
        <f t="shared" ca="1" si="47"/>
        <v>3</v>
      </c>
      <c r="Q98" s="304">
        <f t="shared" ca="1" si="48"/>
        <v>746.67000000000235</v>
      </c>
      <c r="R98" s="306">
        <f t="shared" ca="1" si="49"/>
        <v>0.37471888435995587</v>
      </c>
      <c r="S98" s="307">
        <f t="shared" ca="1" si="50"/>
        <v>6.3123750488007504</v>
      </c>
      <c r="T98" s="304">
        <f t="shared" ca="1" si="30"/>
        <v>61.924399228735368</v>
      </c>
      <c r="U98" s="311">
        <f t="shared" ca="1" si="31"/>
        <v>0</v>
      </c>
      <c r="V98" s="306">
        <f t="shared" ca="1" si="32"/>
        <v>1.1626185086600545</v>
      </c>
      <c r="W98" s="304">
        <f t="shared" ca="1" si="33"/>
        <v>96.652567317842255</v>
      </c>
      <c r="Y98" s="314" t="str">
        <f t="shared" ca="1" si="51"/>
        <v/>
      </c>
      <c r="Z98" s="315" t="str">
        <f t="shared" ca="1" si="52"/>
        <v/>
      </c>
      <c r="AA98" s="316" t="str">
        <f t="shared" ca="1" si="53"/>
        <v/>
      </c>
      <c r="AC98" s="310" t="e">
        <f t="shared" ca="1" si="54"/>
        <v>#N/A</v>
      </c>
      <c r="AD98" s="323" t="e">
        <f t="shared" ca="1" si="55"/>
        <v>#N/A</v>
      </c>
      <c r="AE98" s="324">
        <f t="shared" ca="1" si="34"/>
        <v>522.54152925757523</v>
      </c>
      <c r="AG98" s="306">
        <f t="shared" ca="1" si="56"/>
        <v>93.389189719741481</v>
      </c>
      <c r="AH98" s="304">
        <f t="shared" ca="1" si="57"/>
        <v>103.09908672735659</v>
      </c>
    </row>
    <row r="99" spans="1:34" x14ac:dyDescent="0.2">
      <c r="A99" s="347">
        <f t="shared" ca="1" si="35"/>
        <v>0.01</v>
      </c>
      <c r="B99" s="304">
        <f t="shared" ca="1" si="36"/>
        <v>4.9499999999999797</v>
      </c>
      <c r="D99" s="306">
        <f t="shared" ca="1" si="37"/>
        <v>14.661621360890971</v>
      </c>
      <c r="E99" s="307">
        <f t="shared" ca="1" si="38"/>
        <v>91.988714814779271</v>
      </c>
      <c r="F99" s="304">
        <f t="shared" ca="1" si="39"/>
        <v>93.14980834228767</v>
      </c>
      <c r="G99" s="306">
        <f t="shared" ca="1" si="40"/>
        <v>32.092320598457725</v>
      </c>
      <c r="H99" s="307">
        <f t="shared" ca="1" si="41"/>
        <v>222.72561860054199</v>
      </c>
      <c r="I99" s="304">
        <f t="shared" ca="1" si="42"/>
        <v>225.02581679084801</v>
      </c>
      <c r="J99" s="306">
        <f t="shared" ca="1" si="43"/>
        <v>66.805803818300149</v>
      </c>
      <c r="K99" s="307">
        <f t="shared" ca="1" si="44"/>
        <v>524.76418600783995</v>
      </c>
      <c r="L99" s="304">
        <f t="shared" ca="1" si="29"/>
        <v>528.99949559548736</v>
      </c>
      <c r="M99" s="306">
        <f t="shared" ca="1" si="45"/>
        <v>1.427692221615813</v>
      </c>
      <c r="N99" s="304">
        <f t="shared" ca="1" si="46"/>
        <v>81.800738742242288</v>
      </c>
      <c r="P99" s="310">
        <f t="shared" ca="1" si="47"/>
        <v>3</v>
      </c>
      <c r="Q99" s="304">
        <f t="shared" ca="1" si="48"/>
        <v>745.4900000000024</v>
      </c>
      <c r="R99" s="306">
        <f t="shared" ca="1" si="49"/>
        <v>0.37412669733818621</v>
      </c>
      <c r="S99" s="307">
        <f t="shared" ca="1" si="50"/>
        <v>6.3086337818273686</v>
      </c>
      <c r="T99" s="304">
        <f t="shared" ca="1" si="30"/>
        <v>61.887697399726491</v>
      </c>
      <c r="U99" s="311">
        <f t="shared" ca="1" si="31"/>
        <v>0</v>
      </c>
      <c r="V99" s="306">
        <f t="shared" ca="1" si="32"/>
        <v>1.1623599499576382</v>
      </c>
      <c r="W99" s="304">
        <f t="shared" ca="1" si="33"/>
        <v>97.435988401499444</v>
      </c>
      <c r="Y99" s="314" t="str">
        <f t="shared" ca="1" si="51"/>
        <v/>
      </c>
      <c r="Z99" s="315" t="str">
        <f t="shared" ca="1" si="52"/>
        <v/>
      </c>
      <c r="AA99" s="316" t="str">
        <f t="shared" ca="1" si="53"/>
        <v/>
      </c>
      <c r="AC99" s="310" t="e">
        <f t="shared" ca="1" si="54"/>
        <v>#N/A</v>
      </c>
      <c r="AD99" s="323" t="e">
        <f t="shared" ca="1" si="55"/>
        <v>#N/A</v>
      </c>
      <c r="AE99" s="324">
        <f t="shared" ca="1" si="34"/>
        <v>524.76418600783995</v>
      </c>
      <c r="AG99" s="306">
        <f t="shared" ca="1" si="56"/>
        <v>93.139310177967431</v>
      </c>
      <c r="AH99" s="304">
        <f t="shared" ca="1" si="57"/>
        <v>102.84911997130017</v>
      </c>
    </row>
    <row r="100" spans="1:34" x14ac:dyDescent="0.2">
      <c r="A100" s="347">
        <f t="shared" ca="1" si="35"/>
        <v>0.01</v>
      </c>
      <c r="B100" s="304">
        <f t="shared" ca="1" si="36"/>
        <v>4.9599999999999795</v>
      </c>
      <c r="D100" s="306">
        <f t="shared" ca="1" si="37"/>
        <v>14.63222544268158</v>
      </c>
      <c r="E100" s="307">
        <f t="shared" ca="1" si="38"/>
        <v>91.739884908617682</v>
      </c>
      <c r="F100" s="304">
        <f t="shared" ca="1" si="39"/>
        <v>92.899453736025151</v>
      </c>
      <c r="G100" s="306">
        <f t="shared" ca="1" si="40"/>
        <v>32.238642852884539</v>
      </c>
      <c r="H100" s="307">
        <f t="shared" ca="1" si="41"/>
        <v>223.64301744962816</v>
      </c>
      <c r="I100" s="304">
        <f t="shared" ca="1" si="42"/>
        <v>225.95470640588687</v>
      </c>
      <c r="J100" s="306">
        <f t="shared" ca="1" si="43"/>
        <v>67.127458635556863</v>
      </c>
      <c r="K100" s="307">
        <f t="shared" ca="1" si="44"/>
        <v>526.9960291880908</v>
      </c>
      <c r="L100" s="304">
        <f t="shared" ca="1" si="29"/>
        <v>531.2540922034234</v>
      </c>
      <c r="M100" s="306">
        <f t="shared" ca="1" si="45"/>
        <v>1.4276303036911655</v>
      </c>
      <c r="N100" s="304">
        <f t="shared" ca="1" si="46"/>
        <v>81.79719110648378</v>
      </c>
      <c r="P100" s="310">
        <f t="shared" ca="1" si="47"/>
        <v>3</v>
      </c>
      <c r="Q100" s="304">
        <f t="shared" ca="1" si="48"/>
        <v>744.31000000000245</v>
      </c>
      <c r="R100" s="306">
        <f t="shared" ca="1" si="49"/>
        <v>0.3735345103164166</v>
      </c>
      <c r="S100" s="307">
        <f t="shared" ca="1" si="50"/>
        <v>6.304898436724204</v>
      </c>
      <c r="T100" s="304">
        <f t="shared" ca="1" si="30"/>
        <v>61.851053664264441</v>
      </c>
      <c r="U100" s="311">
        <f t="shared" ca="1" si="31"/>
        <v>0</v>
      </c>
      <c r="V100" s="306">
        <f t="shared" ca="1" si="32"/>
        <v>1.1621003789509725</v>
      </c>
      <c r="W100" s="304">
        <f t="shared" ca="1" si="33"/>
        <v>98.220126715267128</v>
      </c>
      <c r="Y100" s="314" t="str">
        <f t="shared" ca="1" si="51"/>
        <v/>
      </c>
      <c r="Z100" s="315" t="str">
        <f t="shared" ca="1" si="52"/>
        <v/>
      </c>
      <c r="AA100" s="316" t="str">
        <f t="shared" ca="1" si="53"/>
        <v/>
      </c>
      <c r="AC100" s="310" t="e">
        <f t="shared" ca="1" si="54"/>
        <v>#N/A</v>
      </c>
      <c r="AD100" s="323" t="e">
        <f t="shared" ca="1" si="55"/>
        <v>#N/A</v>
      </c>
      <c r="AE100" s="324">
        <f t="shared" ca="1" si="34"/>
        <v>526.9960291880908</v>
      </c>
      <c r="AG100" s="306">
        <f t="shared" ca="1" si="56"/>
        <v>92.888918190297034</v>
      </c>
      <c r="AH100" s="304">
        <f t="shared" ca="1" si="57"/>
        <v>102.5986410551278</v>
      </c>
    </row>
    <row r="101" spans="1:34" x14ac:dyDescent="0.2">
      <c r="A101" s="347">
        <f t="shared" ca="1" si="35"/>
        <v>0.01</v>
      </c>
      <c r="B101" s="304">
        <f t="shared" ca="1" si="36"/>
        <v>4.9699999999999793</v>
      </c>
      <c r="D101" s="306">
        <f t="shared" ca="1" si="37"/>
        <v>14.602703143258044</v>
      </c>
      <c r="E101" s="307">
        <f t="shared" ca="1" si="38"/>
        <v>91.490560596867482</v>
      </c>
      <c r="F101" s="304">
        <f t="shared" ca="1" si="39"/>
        <v>92.648592096260145</v>
      </c>
      <c r="G101" s="306">
        <f t="shared" ca="1" si="40"/>
        <v>32.38466988431712</v>
      </c>
      <c r="H101" s="307">
        <f t="shared" ca="1" si="41"/>
        <v>224.55792305559683</v>
      </c>
      <c r="I101" s="304">
        <f t="shared" ca="1" si="42"/>
        <v>226.8810870270141</v>
      </c>
      <c r="J101" s="306">
        <f t="shared" ca="1" si="43"/>
        <v>67.450575199242877</v>
      </c>
      <c r="K101" s="307">
        <f t="shared" ca="1" si="44"/>
        <v>529.23703389061689</v>
      </c>
      <c r="L101" s="304">
        <f t="shared" ca="1" si="29"/>
        <v>533.51796421118445</v>
      </c>
      <c r="M101" s="306">
        <f t="shared" ca="1" si="45"/>
        <v>1.4275686120856623</v>
      </c>
      <c r="N101" s="304">
        <f t="shared" ca="1" si="46"/>
        <v>81.793656437857052</v>
      </c>
      <c r="P101" s="310">
        <f t="shared" ca="1" si="47"/>
        <v>3</v>
      </c>
      <c r="Q101" s="304">
        <f t="shared" ca="1" si="48"/>
        <v>743.13000000000238</v>
      </c>
      <c r="R101" s="306">
        <f t="shared" ca="1" si="49"/>
        <v>0.37294232329464694</v>
      </c>
      <c r="S101" s="307">
        <f t="shared" ca="1" si="50"/>
        <v>6.3011690134912577</v>
      </c>
      <c r="T101" s="304">
        <f t="shared" ca="1" si="30"/>
        <v>61.814468022349239</v>
      </c>
      <c r="U101" s="311">
        <f t="shared" ca="1" si="31"/>
        <v>0</v>
      </c>
      <c r="V101" s="306">
        <f t="shared" ca="1" si="32"/>
        <v>1.1618397992145799</v>
      </c>
      <c r="W101" s="304">
        <f t="shared" ca="1" si="33"/>
        <v>99.004948411825453</v>
      </c>
      <c r="Y101" s="314" t="str">
        <f t="shared" ca="1" si="51"/>
        <v/>
      </c>
      <c r="Z101" s="315" t="str">
        <f t="shared" ca="1" si="52"/>
        <v/>
      </c>
      <c r="AA101" s="316" t="str">
        <f t="shared" ca="1" si="53"/>
        <v/>
      </c>
      <c r="AC101" s="310" t="e">
        <f t="shared" ca="1" si="54"/>
        <v>#N/A</v>
      </c>
      <c r="AD101" s="323" t="e">
        <f t="shared" ca="1" si="55"/>
        <v>#N/A</v>
      </c>
      <c r="AE101" s="324">
        <f t="shared" ca="1" si="34"/>
        <v>529.23703389061689</v>
      </c>
      <c r="AG101" s="306">
        <f t="shared" ca="1" si="56"/>
        <v>92.638018938906868</v>
      </c>
      <c r="AH101" s="304">
        <f t="shared" ca="1" si="57"/>
        <v>102.34765515794555</v>
      </c>
    </row>
    <row r="102" spans="1:34" x14ac:dyDescent="0.2">
      <c r="A102" s="347">
        <f t="shared" ca="1" si="35"/>
        <v>0.01</v>
      </c>
      <c r="B102" s="304">
        <f t="shared" ca="1" si="36"/>
        <v>4.9799999999999791</v>
      </c>
      <c r="D102" s="306">
        <f t="shared" ca="1" si="37"/>
        <v>14.573055528918683</v>
      </c>
      <c r="E102" s="307">
        <f t="shared" ca="1" si="38"/>
        <v>91.240746968788144</v>
      </c>
      <c r="F102" s="304">
        <f t="shared" ca="1" si="39"/>
        <v>92.397228610339653</v>
      </c>
      <c r="G102" s="306">
        <f t="shared" ca="1" si="40"/>
        <v>32.530400439606304</v>
      </c>
      <c r="H102" s="307">
        <f t="shared" ca="1" si="41"/>
        <v>225.47033052528471</v>
      </c>
      <c r="I102" s="304">
        <f t="shared" ca="1" si="42"/>
        <v>227.80495363345869</v>
      </c>
      <c r="J102" s="306">
        <f t="shared" ca="1" si="43"/>
        <v>67.775150550862492</v>
      </c>
      <c r="K102" s="307">
        <f t="shared" ca="1" si="44"/>
        <v>531.48717515852127</v>
      </c>
      <c r="L102" s="304">
        <f t="shared" ca="1" si="29"/>
        <v>535.79108651616878</v>
      </c>
      <c r="M102" s="306">
        <f t="shared" ca="1" si="45"/>
        <v>1.4275071443770044</v>
      </c>
      <c r="N102" s="304">
        <f t="shared" ca="1" si="46"/>
        <v>81.790134597574621</v>
      </c>
      <c r="P102" s="310">
        <f t="shared" ca="1" si="47"/>
        <v>3</v>
      </c>
      <c r="Q102" s="304">
        <f t="shared" ca="1" si="48"/>
        <v>741.95000000000243</v>
      </c>
      <c r="R102" s="306">
        <f t="shared" ca="1" si="49"/>
        <v>0.37235013627287727</v>
      </c>
      <c r="S102" s="307">
        <f t="shared" ca="1" si="50"/>
        <v>6.2974455121285287</v>
      </c>
      <c r="T102" s="304">
        <f t="shared" ca="1" si="30"/>
        <v>61.77794047398087</v>
      </c>
      <c r="U102" s="311">
        <f t="shared" ca="1" si="31"/>
        <v>0</v>
      </c>
      <c r="V102" s="306">
        <f t="shared" ca="1" si="32"/>
        <v>1.161578214328582</v>
      </c>
      <c r="W102" s="304">
        <f t="shared" ca="1" si="33"/>
        <v>99.79041972204088</v>
      </c>
      <c r="Y102" s="314" t="str">
        <f t="shared" ca="1" si="51"/>
        <v/>
      </c>
      <c r="Z102" s="315" t="str">
        <f t="shared" ca="1" si="52"/>
        <v/>
      </c>
      <c r="AA102" s="316" t="str">
        <f t="shared" ca="1" si="53"/>
        <v/>
      </c>
      <c r="AC102" s="310" t="e">
        <f t="shared" ca="1" si="54"/>
        <v>#N/A</v>
      </c>
      <c r="AD102" s="323" t="e">
        <f t="shared" ca="1" si="55"/>
        <v>#N/A</v>
      </c>
      <c r="AE102" s="324">
        <f t="shared" ca="1" si="34"/>
        <v>531.48717515852127</v>
      </c>
      <c r="AG102" s="306">
        <f t="shared" ca="1" si="56"/>
        <v>92.386617608925775</v>
      </c>
      <c r="AH102" s="304">
        <f t="shared" ca="1" si="57"/>
        <v>102.09616746185428</v>
      </c>
    </row>
    <row r="103" spans="1:34" x14ac:dyDescent="0.2">
      <c r="A103" s="347">
        <f t="shared" ca="1" si="35"/>
        <v>0.01</v>
      </c>
      <c r="B103" s="304">
        <f t="shared" ca="1" si="36"/>
        <v>4.9899999999999789</v>
      </c>
      <c r="D103" s="306">
        <f t="shared" ca="1" si="37"/>
        <v>14.543283662295142</v>
      </c>
      <c r="E103" s="307">
        <f t="shared" ca="1" si="38"/>
        <v>90.990449116769184</v>
      </c>
      <c r="F103" s="304">
        <f t="shared" ca="1" si="39"/>
        <v>92.145368468270519</v>
      </c>
      <c r="G103" s="306">
        <f t="shared" ca="1" si="40"/>
        <v>32.675833276229255</v>
      </c>
      <c r="H103" s="307">
        <f t="shared" ca="1" si="41"/>
        <v>226.38023501645239</v>
      </c>
      <c r="I103" s="304">
        <f t="shared" ca="1" si="42"/>
        <v>228.72630125632722</v>
      </c>
      <c r="J103" s="306">
        <f t="shared" ca="1" si="43"/>
        <v>68.101181719441669</v>
      </c>
      <c r="K103" s="307">
        <f t="shared" ca="1" si="44"/>
        <v>533.74642798622995</v>
      </c>
      <c r="L103" s="304">
        <f t="shared" ca="1" si="29"/>
        <v>538.07343396570343</v>
      </c>
      <c r="M103" s="306">
        <f t="shared" ca="1" si="45"/>
        <v>1.4274458981772664</v>
      </c>
      <c r="N103" s="304">
        <f t="shared" ca="1" si="46"/>
        <v>81.786625448818413</v>
      </c>
      <c r="P103" s="310">
        <f t="shared" ca="1" si="47"/>
        <v>3</v>
      </c>
      <c r="Q103" s="304">
        <f t="shared" ca="1" si="48"/>
        <v>740.77000000000248</v>
      </c>
      <c r="R103" s="306">
        <f t="shared" ca="1" si="49"/>
        <v>0.37175794925110767</v>
      </c>
      <c r="S103" s="307">
        <f t="shared" ca="1" si="50"/>
        <v>6.2937279326360178</v>
      </c>
      <c r="T103" s="304">
        <f t="shared" ca="1" si="30"/>
        <v>61.741471019159341</v>
      </c>
      <c r="U103" s="311">
        <f t="shared" ca="1" si="31"/>
        <v>0</v>
      </c>
      <c r="V103" s="306">
        <f t="shared" ca="1" si="32"/>
        <v>1.1613156278786041</v>
      </c>
      <c r="W103" s="304">
        <f t="shared" ca="1" si="33"/>
        <v>100.57650695666285</v>
      </c>
      <c r="Y103" s="314" t="str">
        <f t="shared" ca="1" si="51"/>
        <v/>
      </c>
      <c r="Z103" s="315" t="str">
        <f t="shared" ca="1" si="52"/>
        <v/>
      </c>
      <c r="AA103" s="316" t="str">
        <f t="shared" ca="1" si="53"/>
        <v/>
      </c>
      <c r="AC103" s="310" t="e">
        <f t="shared" ca="1" si="54"/>
        <v>#N/A</v>
      </c>
      <c r="AD103" s="323" t="e">
        <f t="shared" ca="1" si="55"/>
        <v>#N/A</v>
      </c>
      <c r="AE103" s="324">
        <f t="shared" ca="1" si="34"/>
        <v>533.74642798622995</v>
      </c>
      <c r="AG103" s="306">
        <f t="shared" ca="1" si="56"/>
        <v>92.134719388123898</v>
      </c>
      <c r="AH103" s="304">
        <f t="shared" ca="1" si="57"/>
        <v>101.84418315163785</v>
      </c>
    </row>
    <row r="104" spans="1:34" x14ac:dyDescent="0.2">
      <c r="A104" s="347">
        <f t="shared" ca="1" si="35"/>
        <v>0.01</v>
      </c>
      <c r="B104" s="304">
        <f t="shared" ca="1" si="36"/>
        <v>4.9999999999999787</v>
      </c>
      <c r="D104" s="306">
        <f t="shared" ca="1" si="37"/>
        <v>14.513388602397502</v>
      </c>
      <c r="E104" s="307">
        <f t="shared" ca="1" si="38"/>
        <v>90.739672136012231</v>
      </c>
      <c r="F104" s="304">
        <f t="shared" ca="1" si="39"/>
        <v>91.89301686241015</v>
      </c>
      <c r="G104" s="306">
        <f t="shared" ca="1" si="40"/>
        <v>32.820967162253233</v>
      </c>
      <c r="H104" s="307">
        <f t="shared" ca="1" si="41"/>
        <v>227.28763173781252</v>
      </c>
      <c r="I104" s="304">
        <f t="shared" ca="1" si="42"/>
        <v>229.64512497862694</v>
      </c>
      <c r="J104" s="306">
        <f t="shared" ca="1" si="43"/>
        <v>68.428665721634076</v>
      </c>
      <c r="K104" s="307">
        <f t="shared" ca="1" si="44"/>
        <v>536.01476732000128</v>
      </c>
      <c r="L104" s="304">
        <f t="shared" ca="1" si="29"/>
        <v>540.36498135756199</v>
      </c>
      <c r="M104" s="306">
        <f t="shared" ca="1" si="45"/>
        <v>1.427384871132235</v>
      </c>
      <c r="N104" s="304">
        <f t="shared" ca="1" si="46"/>
        <v>81.783128856701964</v>
      </c>
      <c r="P104" s="310">
        <f t="shared" ca="1" si="47"/>
        <v>3</v>
      </c>
      <c r="Q104" s="304">
        <f t="shared" ca="1" si="48"/>
        <v>739.59000000000253</v>
      </c>
      <c r="R104" s="306">
        <f t="shared" ca="1" si="49"/>
        <v>0.37116576222933806</v>
      </c>
      <c r="S104" s="307">
        <f t="shared" ca="1" si="50"/>
        <v>6.2900162750137243</v>
      </c>
      <c r="T104" s="304">
        <f t="shared" ca="1" si="30"/>
        <v>61.70505965788464</v>
      </c>
      <c r="U104" s="311">
        <f t="shared" ca="1" si="31"/>
        <v>0</v>
      </c>
      <c r="V104" s="306">
        <f t="shared" ca="1" si="32"/>
        <v>1.1610520434556846</v>
      </c>
      <c r="W104" s="304">
        <f t="shared" ca="1" si="33"/>
        <v>101.36317650800676</v>
      </c>
      <c r="Y104" s="314" t="str">
        <f t="shared" ca="1" si="51"/>
        <v/>
      </c>
      <c r="Z104" s="315" t="str">
        <f t="shared" ca="1" si="52"/>
        <v/>
      </c>
      <c r="AA104" s="316" t="str">
        <f t="shared" ca="1" si="53"/>
        <v/>
      </c>
      <c r="AC104" s="310">
        <f t="shared" ca="1" si="54"/>
        <v>4.9999999999999787</v>
      </c>
      <c r="AD104" s="323">
        <f t="shared" ca="1" si="55"/>
        <v>68.428665721634076</v>
      </c>
      <c r="AE104" s="324">
        <f t="shared" ca="1" si="34"/>
        <v>536.01476732000128</v>
      </c>
      <c r="AG104" s="306">
        <f t="shared" ca="1" si="56"/>
        <v>91.882329466603011</v>
      </c>
      <c r="AH104" s="304">
        <f t="shared" ca="1" si="57"/>
        <v>101.59170741445266</v>
      </c>
    </row>
    <row r="105" spans="1:34" x14ac:dyDescent="0.2">
      <c r="A105" s="347">
        <f t="shared" ca="1" si="35"/>
        <v>0.01</v>
      </c>
      <c r="B105" s="304">
        <f t="shared" ca="1" si="36"/>
        <v>5.0099999999999785</v>
      </c>
      <c r="D105" s="306">
        <f t="shared" ca="1" si="37"/>
        <v>14.478594590460396</v>
      </c>
      <c r="E105" s="307">
        <f t="shared" ca="1" si="38"/>
        <v>90.455341331633321</v>
      </c>
      <c r="F105" s="304">
        <f t="shared" ca="1" si="39"/>
        <v>91.606759994758022</v>
      </c>
      <c r="G105" s="306">
        <f t="shared" ca="1" si="40"/>
        <v>32.965753108157834</v>
      </c>
      <c r="H105" s="307">
        <f t="shared" ca="1" si="41"/>
        <v>228.19218515112885</v>
      </c>
      <c r="I105" s="304">
        <f t="shared" ca="1" si="42"/>
        <v>230.56108570622902</v>
      </c>
      <c r="J105" s="306">
        <f t="shared" ca="1" si="43"/>
        <v>68.757599322986124</v>
      </c>
      <c r="K105" s="307">
        <f t="shared" ca="1" si="44"/>
        <v>538.29216640444599</v>
      </c>
      <c r="L105" s="304">
        <f t="shared" ca="1" si="29"/>
        <v>542.66570176956282</v>
      </c>
      <c r="M105" s="306">
        <f t="shared" ca="1" si="45"/>
        <v>1.4273240608326101</v>
      </c>
      <c r="N105" s="304">
        <f t="shared" ca="1" si="46"/>
        <v>81.779644683182525</v>
      </c>
      <c r="P105" s="310">
        <f t="shared" ca="1" si="47"/>
        <v>4</v>
      </c>
      <c r="Q105" s="304">
        <f t="shared" ca="1" si="48"/>
        <v>738.20000000000346</v>
      </c>
      <c r="R105" s="306">
        <f t="shared" ca="1" si="49"/>
        <v>0.37046818599183018</v>
      </c>
      <c r="S105" s="307">
        <f t="shared" ca="1" si="50"/>
        <v>6.2863115931538056</v>
      </c>
      <c r="T105" s="304">
        <f t="shared" ca="1" si="30"/>
        <v>61.668716728838838</v>
      </c>
      <c r="U105" s="311">
        <f t="shared" ca="1" si="31"/>
        <v>0</v>
      </c>
      <c r="V105" s="306">
        <f t="shared" ca="1" si="32"/>
        <v>1.1607874648483119</v>
      </c>
      <c r="W105" s="304">
        <f t="shared" ca="1" si="33"/>
        <v>102.15009870792085</v>
      </c>
      <c r="Y105" s="314" t="str">
        <f t="shared" ca="1" si="51"/>
        <v/>
      </c>
      <c r="Z105" s="315" t="str">
        <f t="shared" ca="1" si="52"/>
        <v/>
      </c>
      <c r="AA105" s="316" t="str">
        <f t="shared" ca="1" si="53"/>
        <v/>
      </c>
      <c r="AC105" s="310" t="e">
        <f t="shared" ca="1" si="54"/>
        <v>#N/A</v>
      </c>
      <c r="AD105" s="323" t="e">
        <f t="shared" ca="1" si="55"/>
        <v>#N/A</v>
      </c>
      <c r="AE105" s="324">
        <f t="shared" ca="1" si="34"/>
        <v>538.29216640444599</v>
      </c>
      <c r="AG105" s="306">
        <f t="shared" ca="1" si="56"/>
        <v>91.596030130703511</v>
      </c>
      <c r="AH105" s="304">
        <f t="shared" ca="1" si="57"/>
        <v>101.30532253373387</v>
      </c>
    </row>
    <row r="106" spans="1:34" x14ac:dyDescent="0.2">
      <c r="A106" s="347">
        <f t="shared" ca="1" si="35"/>
        <v>0.01</v>
      </c>
      <c r="B106" s="304">
        <f t="shared" ca="1" si="36"/>
        <v>5.0199999999999783</v>
      </c>
      <c r="D106" s="306">
        <f t="shared" ca="1" si="37"/>
        <v>14.438892550372149</v>
      </c>
      <c r="E106" s="307">
        <f t="shared" ca="1" si="38"/>
        <v>90.137434278891703</v>
      </c>
      <c r="F106" s="304">
        <f t="shared" ca="1" si="39"/>
        <v>91.286574459022802</v>
      </c>
      <c r="G106" s="306">
        <f t="shared" ca="1" si="40"/>
        <v>33.110142033661553</v>
      </c>
      <c r="H106" s="307">
        <f t="shared" ca="1" si="41"/>
        <v>229.09355949391778</v>
      </c>
      <c r="I106" s="304">
        <f t="shared" ca="1" si="42"/>
        <v>231.47384411004731</v>
      </c>
      <c r="J106" s="306">
        <f t="shared" ca="1" si="43"/>
        <v>69.087978798695218</v>
      </c>
      <c r="K106" s="307">
        <f t="shared" ca="1" si="44"/>
        <v>540.57859512767118</v>
      </c>
      <c r="L106" s="304">
        <f t="shared" ca="1" si="29"/>
        <v>544.97556488772557</v>
      </c>
      <c r="M106" s="306">
        <f t="shared" ca="1" si="45"/>
        <v>1.4272634648158924</v>
      </c>
      <c r="N106" s="304">
        <f t="shared" ca="1" si="46"/>
        <v>81.776172787169301</v>
      </c>
      <c r="P106" s="310">
        <f t="shared" ca="1" si="47"/>
        <v>4</v>
      </c>
      <c r="Q106" s="304">
        <f t="shared" ca="1" si="48"/>
        <v>736.60000000000343</v>
      </c>
      <c r="R106" s="306">
        <f t="shared" ca="1" si="49"/>
        <v>0.36966522053858319</v>
      </c>
      <c r="S106" s="307">
        <f t="shared" ca="1" si="50"/>
        <v>6.2826149409484202</v>
      </c>
      <c r="T106" s="304">
        <f t="shared" ca="1" si="30"/>
        <v>61.632452570704004</v>
      </c>
      <c r="U106" s="311">
        <f t="shared" ca="1" si="31"/>
        <v>0</v>
      </c>
      <c r="V106" s="306">
        <f t="shared" ca="1" si="32"/>
        <v>1.1605218962343666</v>
      </c>
      <c r="W106" s="304">
        <f t="shared" ca="1" si="33"/>
        <v>102.9369393322866</v>
      </c>
      <c r="Y106" s="314" t="str">
        <f t="shared" ca="1" si="51"/>
        <v/>
      </c>
      <c r="Z106" s="315" t="str">
        <f t="shared" ca="1" si="52"/>
        <v/>
      </c>
      <c r="AA106" s="316" t="str">
        <f t="shared" ca="1" si="53"/>
        <v/>
      </c>
      <c r="AC106" s="310" t="e">
        <f t="shared" ca="1" si="54"/>
        <v>#N/A</v>
      </c>
      <c r="AD106" s="323" t="e">
        <f t="shared" ca="1" si="55"/>
        <v>#N/A</v>
      </c>
      <c r="AE106" s="324">
        <f t="shared" ca="1" si="34"/>
        <v>540.57859512767118</v>
      </c>
      <c r="AG106" s="306">
        <f t="shared" ca="1" si="56"/>
        <v>91.27579788465053</v>
      </c>
      <c r="AH106" s="304">
        <f t="shared" ca="1" si="57"/>
        <v>100.98500501071715</v>
      </c>
    </row>
    <row r="107" spans="1:34" x14ac:dyDescent="0.2">
      <c r="A107" s="347">
        <f t="shared" ca="1" si="35"/>
        <v>0.01</v>
      </c>
      <c r="B107" s="304">
        <f t="shared" ca="1" si="36"/>
        <v>5.029999999999978</v>
      </c>
      <c r="D107" s="306">
        <f t="shared" ca="1" si="37"/>
        <v>14.399060045239558</v>
      </c>
      <c r="E107" s="307">
        <f t="shared" ca="1" si="38"/>
        <v>89.819047672973298</v>
      </c>
      <c r="F107" s="304">
        <f t="shared" ca="1" si="39"/>
        <v>90.96589610984033</v>
      </c>
      <c r="G107" s="306">
        <f t="shared" ca="1" si="40"/>
        <v>33.254132634113951</v>
      </c>
      <c r="H107" s="307">
        <f t="shared" ca="1" si="41"/>
        <v>229.9917499706475</v>
      </c>
      <c r="I107" s="304">
        <f t="shared" ca="1" si="42"/>
        <v>232.38339525837054</v>
      </c>
      <c r="J107" s="306">
        <f t="shared" ca="1" si="43"/>
        <v>69.419800172034101</v>
      </c>
      <c r="K107" s="307">
        <f t="shared" ca="1" si="44"/>
        <v>542.87402167499397</v>
      </c>
      <c r="L107" s="304">
        <f t="shared" ca="1" si="29"/>
        <v>547.29453867685083</v>
      </c>
      <c r="M107" s="306">
        <f t="shared" ca="1" si="45"/>
        <v>1.4272030806551446</v>
      </c>
      <c r="N107" s="304">
        <f t="shared" ca="1" si="46"/>
        <v>81.772713029609008</v>
      </c>
      <c r="P107" s="310">
        <f t="shared" ca="1" si="47"/>
        <v>4</v>
      </c>
      <c r="Q107" s="304">
        <f t="shared" ca="1" si="48"/>
        <v>735.00000000000352</v>
      </c>
      <c r="R107" s="306">
        <f t="shared" ca="1" si="49"/>
        <v>0.36886225508533627</v>
      </c>
      <c r="S107" s="307">
        <f t="shared" ca="1" si="50"/>
        <v>6.2789263183975672</v>
      </c>
      <c r="T107" s="304">
        <f t="shared" ca="1" si="30"/>
        <v>61.596267183480137</v>
      </c>
      <c r="U107" s="311">
        <f t="shared" ca="1" si="31"/>
        <v>0</v>
      </c>
      <c r="V107" s="306">
        <f t="shared" ca="1" si="32"/>
        <v>1.1602553419886432</v>
      </c>
      <c r="W107" s="304">
        <f t="shared" ca="1" si="33"/>
        <v>103.72365835314478</v>
      </c>
      <c r="Y107" s="314" t="str">
        <f t="shared" ca="1" si="51"/>
        <v/>
      </c>
      <c r="Z107" s="315" t="str">
        <f t="shared" ca="1" si="52"/>
        <v/>
      </c>
      <c r="AA107" s="316" t="str">
        <f t="shared" ca="1" si="53"/>
        <v/>
      </c>
      <c r="AC107" s="310" t="e">
        <f t="shared" ca="1" si="54"/>
        <v>#N/A</v>
      </c>
      <c r="AD107" s="323" t="e">
        <f t="shared" ca="1" si="55"/>
        <v>#N/A</v>
      </c>
      <c r="AE107" s="324">
        <f t="shared" ca="1" si="34"/>
        <v>542.87402167499397</v>
      </c>
      <c r="AG107" s="306">
        <f t="shared" ca="1" si="56"/>
        <v>90.955072465963312</v>
      </c>
      <c r="AH107" s="304">
        <f t="shared" ca="1" si="57"/>
        <v>100.66419457985049</v>
      </c>
    </row>
    <row r="108" spans="1:34" x14ac:dyDescent="0.2">
      <c r="A108" s="347">
        <f t="shared" ca="1" si="35"/>
        <v>0.01</v>
      </c>
      <c r="B108" s="304">
        <f t="shared" ca="1" si="36"/>
        <v>5.0399999999999778</v>
      </c>
      <c r="D108" s="306">
        <f t="shared" ca="1" si="37"/>
        <v>14.359098397196687</v>
      </c>
      <c r="E108" s="307">
        <f t="shared" ca="1" si="38"/>
        <v>89.500188141371694</v>
      </c>
      <c r="F108" s="304">
        <f t="shared" ca="1" si="39"/>
        <v>90.644731695346238</v>
      </c>
      <c r="G108" s="306">
        <f t="shared" ca="1" si="40"/>
        <v>33.397723618085919</v>
      </c>
      <c r="H108" s="307">
        <f t="shared" ca="1" si="41"/>
        <v>230.88675185206122</v>
      </c>
      <c r="I108" s="304">
        <f t="shared" ca="1" si="42"/>
        <v>233.28973428692774</v>
      </c>
      <c r="J108" s="306">
        <f t="shared" ca="1" si="43"/>
        <v>69.753059453295094</v>
      </c>
      <c r="K108" s="307">
        <f t="shared" ca="1" si="44"/>
        <v>545.17841418410751</v>
      </c>
      <c r="L108" s="304">
        <f t="shared" ca="1" si="29"/>
        <v>549.62259105261785</v>
      </c>
      <c r="M108" s="306">
        <f t="shared" ca="1" si="45"/>
        <v>1.4271429059582872</v>
      </c>
      <c r="N108" s="304">
        <f t="shared" ca="1" si="46"/>
        <v>81.769265273445598</v>
      </c>
      <c r="P108" s="310">
        <f t="shared" ca="1" si="47"/>
        <v>4</v>
      </c>
      <c r="Q108" s="304">
        <f t="shared" ca="1" si="48"/>
        <v>733.4000000000035</v>
      </c>
      <c r="R108" s="306">
        <f t="shared" ca="1" si="49"/>
        <v>0.36805928963208923</v>
      </c>
      <c r="S108" s="307">
        <f t="shared" ca="1" si="50"/>
        <v>6.2752457255012466</v>
      </c>
      <c r="T108" s="304">
        <f t="shared" ca="1" si="30"/>
        <v>61.56016056716723</v>
      </c>
      <c r="U108" s="311">
        <f t="shared" ca="1" si="31"/>
        <v>0</v>
      </c>
      <c r="V108" s="306">
        <f t="shared" ca="1" si="32"/>
        <v>1.159987806490455</v>
      </c>
      <c r="W108" s="304">
        <f t="shared" ca="1" si="33"/>
        <v>104.51021589829081</v>
      </c>
      <c r="Y108" s="314" t="str">
        <f t="shared" ca="1" si="51"/>
        <v/>
      </c>
      <c r="Z108" s="315" t="str">
        <f t="shared" ca="1" si="52"/>
        <v/>
      </c>
      <c r="AA108" s="316" t="str">
        <f t="shared" ca="1" si="53"/>
        <v/>
      </c>
      <c r="AC108" s="310" t="e">
        <f t="shared" ca="1" si="54"/>
        <v>#N/A</v>
      </c>
      <c r="AD108" s="323" t="e">
        <f t="shared" ca="1" si="55"/>
        <v>#N/A</v>
      </c>
      <c r="AE108" s="324">
        <f t="shared" ca="1" si="34"/>
        <v>545.17841418410751</v>
      </c>
      <c r="AG108" s="306">
        <f t="shared" ca="1" si="56"/>
        <v>90.6338606186807</v>
      </c>
      <c r="AH108" s="304">
        <f t="shared" ca="1" si="57"/>
        <v>100.34289798214431</v>
      </c>
    </row>
    <row r="109" spans="1:34" x14ac:dyDescent="0.2">
      <c r="A109" s="347">
        <f t="shared" ca="1" si="35"/>
        <v>0.01</v>
      </c>
      <c r="B109" s="304">
        <f t="shared" ca="1" si="36"/>
        <v>5.0499999999999776</v>
      </c>
      <c r="D109" s="306">
        <f t="shared" ca="1" si="37"/>
        <v>14.31900892330026</v>
      </c>
      <c r="E109" s="307">
        <f t="shared" ca="1" si="38"/>
        <v>89.180862306888926</v>
      </c>
      <c r="F109" s="304">
        <f t="shared" ca="1" si="39"/>
        <v>90.323087958427521</v>
      </c>
      <c r="G109" s="306">
        <f t="shared" ca="1" si="40"/>
        <v>33.540913707318921</v>
      </c>
      <c r="H109" s="307">
        <f t="shared" ca="1" si="41"/>
        <v>231.77856047513012</v>
      </c>
      <c r="I109" s="304">
        <f t="shared" ca="1" si="42"/>
        <v>234.19285639883503</v>
      </c>
      <c r="J109" s="306">
        <f t="shared" ca="1" si="43"/>
        <v>70.087752639922115</v>
      </c>
      <c r="K109" s="307">
        <f t="shared" ca="1" si="44"/>
        <v>547.49174074574341</v>
      </c>
      <c r="L109" s="304">
        <f t="shared" ca="1" si="29"/>
        <v>551.95968988225877</v>
      </c>
      <c r="M109" s="306">
        <f t="shared" ca="1" si="45"/>
        <v>1.4270829383674097</v>
      </c>
      <c r="N109" s="304">
        <f t="shared" ca="1" si="46"/>
        <v>81.765829383580751</v>
      </c>
      <c r="P109" s="310">
        <f t="shared" ca="1" si="47"/>
        <v>4</v>
      </c>
      <c r="Q109" s="304">
        <f t="shared" ca="1" si="48"/>
        <v>731.80000000000359</v>
      </c>
      <c r="R109" s="306">
        <f t="shared" ca="1" si="49"/>
        <v>0.3672563241788423</v>
      </c>
      <c r="S109" s="307">
        <f t="shared" ca="1" si="50"/>
        <v>6.2715731622594584</v>
      </c>
      <c r="T109" s="304">
        <f t="shared" ca="1" si="30"/>
        <v>61.524132721765291</v>
      </c>
      <c r="U109" s="311">
        <f t="shared" ca="1" si="31"/>
        <v>0</v>
      </c>
      <c r="V109" s="306">
        <f t="shared" ca="1" si="32"/>
        <v>1.1597192941235177</v>
      </c>
      <c r="W109" s="304">
        <f t="shared" ca="1" si="33"/>
        <v>105.29657225321668</v>
      </c>
      <c r="Y109" s="314" t="str">
        <f t="shared" ca="1" si="51"/>
        <v/>
      </c>
      <c r="Z109" s="315" t="str">
        <f t="shared" ca="1" si="52"/>
        <v/>
      </c>
      <c r="AA109" s="316" t="str">
        <f t="shared" ca="1" si="53"/>
        <v/>
      </c>
      <c r="AC109" s="310" t="e">
        <f t="shared" ca="1" si="54"/>
        <v>#N/A</v>
      </c>
      <c r="AD109" s="323" t="e">
        <f t="shared" ca="1" si="55"/>
        <v>#N/A</v>
      </c>
      <c r="AE109" s="324">
        <f t="shared" ca="1" si="34"/>
        <v>547.49174074574341</v>
      </c>
      <c r="AG109" s="306">
        <f t="shared" ca="1" si="56"/>
        <v>90.312169081541015</v>
      </c>
      <c r="AH109" s="304">
        <f t="shared" ca="1" si="57"/>
        <v>100.02112195335042</v>
      </c>
    </row>
    <row r="110" spans="1:34" x14ac:dyDescent="0.2">
      <c r="A110" s="347">
        <f t="shared" ca="1" si="35"/>
        <v>0.01</v>
      </c>
      <c r="B110" s="304">
        <f t="shared" ca="1" si="36"/>
        <v>5.0599999999999774</v>
      </c>
      <c r="D110" s="306">
        <f t="shared" ca="1" si="37"/>
        <v>14.278792935567367</v>
      </c>
      <c r="E110" s="307">
        <f t="shared" ca="1" si="38"/>
        <v>88.861076787216348</v>
      </c>
      <c r="F110" s="304">
        <f t="shared" ca="1" si="39"/>
        <v>90.000971636312727</v>
      </c>
      <c r="G110" s="306">
        <f t="shared" ca="1" si="40"/>
        <v>33.683701636674598</v>
      </c>
      <c r="H110" s="307">
        <f t="shared" ca="1" si="41"/>
        <v>232.66717124300229</v>
      </c>
      <c r="I110" s="304">
        <f t="shared" ca="1" si="42"/>
        <v>235.09275686453861</v>
      </c>
      <c r="J110" s="306">
        <f t="shared" ca="1" si="43"/>
        <v>70.423875716642087</v>
      </c>
      <c r="K110" s="307">
        <f t="shared" ca="1" si="44"/>
        <v>549.8139694043341</v>
      </c>
      <c r="L110" s="304">
        <f t="shared" ca="1" si="29"/>
        <v>554.30580298523228</v>
      </c>
      <c r="M110" s="306">
        <f t="shared" ca="1" si="45"/>
        <v>1.4270231755580991</v>
      </c>
      <c r="N110" s="304">
        <f t="shared" ca="1" si="46"/>
        <v>81.762405226835412</v>
      </c>
      <c r="P110" s="310">
        <f t="shared" ca="1" si="47"/>
        <v>4</v>
      </c>
      <c r="Q110" s="304">
        <f t="shared" ca="1" si="48"/>
        <v>730.20000000000357</v>
      </c>
      <c r="R110" s="306">
        <f t="shared" ca="1" si="49"/>
        <v>0.36645335872559531</v>
      </c>
      <c r="S110" s="307">
        <f t="shared" ca="1" si="50"/>
        <v>6.2679086286722026</v>
      </c>
      <c r="T110" s="304">
        <f t="shared" ca="1" si="30"/>
        <v>61.488183647274312</v>
      </c>
      <c r="U110" s="311">
        <f t="shared" ca="1" si="31"/>
        <v>0</v>
      </c>
      <c r="V110" s="306">
        <f t="shared" ca="1" si="32"/>
        <v>1.1594498092758323</v>
      </c>
      <c r="W110" s="304">
        <f t="shared" ca="1" si="33"/>
        <v>106.08268786302986</v>
      </c>
      <c r="Y110" s="314" t="str">
        <f t="shared" ca="1" si="51"/>
        <v/>
      </c>
      <c r="Z110" s="315" t="str">
        <f t="shared" ca="1" si="52"/>
        <v/>
      </c>
      <c r="AA110" s="316" t="str">
        <f t="shared" ca="1" si="53"/>
        <v/>
      </c>
      <c r="AC110" s="310" t="e">
        <f t="shared" ca="1" si="54"/>
        <v>#N/A</v>
      </c>
      <c r="AD110" s="323" t="e">
        <f t="shared" ca="1" si="55"/>
        <v>#N/A</v>
      </c>
      <c r="AE110" s="324">
        <f t="shared" ca="1" si="34"/>
        <v>549.8139694043341</v>
      </c>
      <c r="AG110" s="306">
        <f t="shared" ca="1" si="56"/>
        <v>89.990004587571107</v>
      </c>
      <c r="AH110" s="304">
        <f t="shared" ca="1" si="57"/>
        <v>99.698873223550294</v>
      </c>
    </row>
    <row r="111" spans="1:34" x14ac:dyDescent="0.2">
      <c r="A111" s="347">
        <f t="shared" ca="1" si="35"/>
        <v>0.01</v>
      </c>
      <c r="B111" s="304">
        <f t="shared" ca="1" si="36"/>
        <v>5.0699999999999772</v>
      </c>
      <c r="D111" s="306">
        <f t="shared" ca="1" si="37"/>
        <v>14.238451741010945</v>
      </c>
      <c r="E111" s="307">
        <f t="shared" ca="1" si="38"/>
        <v>88.540838194518415</v>
      </c>
      <c r="F111" s="304">
        <f t="shared" ca="1" si="39"/>
        <v>89.678389460164752</v>
      </c>
      <c r="G111" s="306">
        <f t="shared" ca="1" si="40"/>
        <v>33.826086154084706</v>
      </c>
      <c r="H111" s="307">
        <f t="shared" ca="1" si="41"/>
        <v>233.55257962494747</v>
      </c>
      <c r="I111" s="304">
        <f t="shared" ca="1" si="42"/>
        <v>235.98943102175357</v>
      </c>
      <c r="J111" s="306">
        <f t="shared" ca="1" si="43"/>
        <v>70.761424655595889</v>
      </c>
      <c r="K111" s="307">
        <f t="shared" ca="1" si="44"/>
        <v>552.14506815867389</v>
      </c>
      <c r="L111" s="304">
        <f t="shared" ca="1" si="29"/>
        <v>556.66089813389635</v>
      </c>
      <c r="M111" s="306">
        <f t="shared" ca="1" si="45"/>
        <v>1.4269636152387855</v>
      </c>
      <c r="N111" s="304">
        <f t="shared" ca="1" si="46"/>
        <v>81.758992671912296</v>
      </c>
      <c r="P111" s="310">
        <f t="shared" ca="1" si="47"/>
        <v>4</v>
      </c>
      <c r="Q111" s="304">
        <f t="shared" ca="1" si="48"/>
        <v>728.60000000000366</v>
      </c>
      <c r="R111" s="306">
        <f t="shared" ca="1" si="49"/>
        <v>0.36565039327234838</v>
      </c>
      <c r="S111" s="307">
        <f t="shared" ca="1" si="50"/>
        <v>6.2642521247394791</v>
      </c>
      <c r="T111" s="304">
        <f t="shared" ca="1" si="30"/>
        <v>61.452313343694293</v>
      </c>
      <c r="U111" s="311">
        <f t="shared" ca="1" si="31"/>
        <v>0</v>
      </c>
      <c r="V111" s="306">
        <f t="shared" ca="1" si="32"/>
        <v>1.1591793563395696</v>
      </c>
      <c r="W111" s="304">
        <f t="shared" ca="1" si="33"/>
        <v>106.86852333434851</v>
      </c>
      <c r="Y111" s="314" t="str">
        <f t="shared" ca="1" si="51"/>
        <v/>
      </c>
      <c r="Z111" s="315" t="str">
        <f t="shared" ca="1" si="52"/>
        <v/>
      </c>
      <c r="AA111" s="316" t="str">
        <f t="shared" ca="1" si="53"/>
        <v/>
      </c>
      <c r="AC111" s="310" t="e">
        <f t="shared" ca="1" si="54"/>
        <v>#N/A</v>
      </c>
      <c r="AD111" s="323" t="e">
        <f t="shared" ca="1" si="55"/>
        <v>#N/A</v>
      </c>
      <c r="AE111" s="324">
        <f t="shared" ca="1" si="34"/>
        <v>552.14506815867389</v>
      </c>
      <c r="AG111" s="306">
        <f t="shared" ca="1" si="56"/>
        <v>89.667373863678165</v>
      </c>
      <c r="AH111" s="304">
        <f t="shared" ca="1" si="57"/>
        <v>99.376158516746059</v>
      </c>
    </row>
    <row r="112" spans="1:34" x14ac:dyDescent="0.2">
      <c r="A112" s="347">
        <f t="shared" ca="1" si="35"/>
        <v>0.01</v>
      </c>
      <c r="B112" s="304">
        <f t="shared" ca="1" si="36"/>
        <v>5.079999999999977</v>
      </c>
      <c r="D112" s="306">
        <f t="shared" ca="1" si="37"/>
        <v>14.197986641672967</v>
      </c>
      <c r="E112" s="307">
        <f t="shared" ca="1" si="38"/>
        <v>88.220153135018961</v>
      </c>
      <c r="F112" s="304">
        <f t="shared" ca="1" si="39"/>
        <v>89.355348154675781</v>
      </c>
      <c r="G112" s="306">
        <f t="shared" ca="1" si="40"/>
        <v>33.968066020501439</v>
      </c>
      <c r="H112" s="307">
        <f t="shared" ca="1" si="41"/>
        <v>234.43478115629765</v>
      </c>
      <c r="I112" s="304">
        <f t="shared" ca="1" si="42"/>
        <v>236.88287427539862</v>
      </c>
      <c r="J112" s="306">
        <f t="shared" ca="1" si="43"/>
        <v>71.100395416468814</v>
      </c>
      <c r="K112" s="307">
        <f t="shared" ca="1" si="44"/>
        <v>554.48500496258009</v>
      </c>
      <c r="L112" s="304">
        <f t="shared" ca="1" si="29"/>
        <v>559.02494305418134</v>
      </c>
      <c r="M112" s="306">
        <f t="shared" ca="1" si="45"/>
        <v>1.4269042551501023</v>
      </c>
      <c r="N112" s="304">
        <f t="shared" ca="1" si="46"/>
        <v>81.755591589359227</v>
      </c>
      <c r="P112" s="310">
        <f t="shared" ca="1" si="47"/>
        <v>4</v>
      </c>
      <c r="Q112" s="304">
        <f t="shared" ca="1" si="48"/>
        <v>727.00000000000364</v>
      </c>
      <c r="R112" s="306">
        <f t="shared" ca="1" si="49"/>
        <v>0.36484742781910134</v>
      </c>
      <c r="S112" s="307">
        <f t="shared" ca="1" si="50"/>
        <v>6.2606036504612881</v>
      </c>
      <c r="T112" s="304">
        <f t="shared" ca="1" si="30"/>
        <v>61.416521811025241</v>
      </c>
      <c r="U112" s="311">
        <f t="shared" ca="1" si="31"/>
        <v>0</v>
      </c>
      <c r="V112" s="306">
        <f t="shared" ca="1" si="32"/>
        <v>1.1589079397109521</v>
      </c>
      <c r="W112" s="304">
        <f t="shared" ca="1" si="33"/>
        <v>107.65403943717276</v>
      </c>
      <c r="Y112" s="314" t="str">
        <f t="shared" ca="1" si="51"/>
        <v/>
      </c>
      <c r="Z112" s="315" t="str">
        <f t="shared" ca="1" si="52"/>
        <v/>
      </c>
      <c r="AA112" s="316" t="str">
        <f t="shared" ca="1" si="53"/>
        <v/>
      </c>
      <c r="AC112" s="310" t="e">
        <f t="shared" ca="1" si="54"/>
        <v>#N/A</v>
      </c>
      <c r="AD112" s="323" t="e">
        <f t="shared" ca="1" si="55"/>
        <v>#N/A</v>
      </c>
      <c r="AE112" s="324">
        <f t="shared" ca="1" si="34"/>
        <v>554.48500496258009</v>
      </c>
      <c r="AG112" s="306">
        <f t="shared" ca="1" si="56"/>
        <v>89.344283630243552</v>
      </c>
      <c r="AH112" s="304">
        <f t="shared" ca="1" si="57"/>
        <v>99.052984550453559</v>
      </c>
    </row>
    <row r="113" spans="1:34" x14ac:dyDescent="0.2">
      <c r="A113" s="347">
        <f t="shared" ca="1" si="35"/>
        <v>0.01</v>
      </c>
      <c r="B113" s="304">
        <f t="shared" ca="1" si="36"/>
        <v>5.0899999999999768</v>
      </c>
      <c r="D113" s="306">
        <f t="shared" ca="1" si="37"/>
        <v>14.157398934655822</v>
      </c>
      <c r="E113" s="307">
        <f t="shared" ca="1" si="38"/>
        <v>87.899028208590437</v>
      </c>
      <c r="F113" s="304">
        <f t="shared" ca="1" si="39"/>
        <v>89.031854437665018</v>
      </c>
      <c r="G113" s="306">
        <f t="shared" ca="1" si="40"/>
        <v>34.109640009848</v>
      </c>
      <c r="H113" s="307">
        <f t="shared" ca="1" si="41"/>
        <v>235.31377143838355</v>
      </c>
      <c r="I113" s="304">
        <f t="shared" ca="1" si="42"/>
        <v>237.77308209752684</v>
      </c>
      <c r="J113" s="306">
        <f t="shared" ca="1" si="43"/>
        <v>71.440783946620556</v>
      </c>
      <c r="K113" s="307">
        <f t="shared" ca="1" si="44"/>
        <v>556.83374772555351</v>
      </c>
      <c r="L113" s="304">
        <f t="shared" ca="1" si="29"/>
        <v>561.39790542626099</v>
      </c>
      <c r="M113" s="306">
        <f t="shared" ca="1" si="45"/>
        <v>1.426845093064264</v>
      </c>
      <c r="N113" s="304">
        <f t="shared" ca="1" si="46"/>
        <v>81.752201851533499</v>
      </c>
      <c r="P113" s="310">
        <f t="shared" ca="1" si="47"/>
        <v>4</v>
      </c>
      <c r="Q113" s="304">
        <f t="shared" ca="1" si="48"/>
        <v>725.40000000000373</v>
      </c>
      <c r="R113" s="306">
        <f t="shared" ca="1" si="49"/>
        <v>0.36404446236585442</v>
      </c>
      <c r="S113" s="307">
        <f t="shared" ca="1" si="50"/>
        <v>6.2569632058376294</v>
      </c>
      <c r="T113" s="304">
        <f t="shared" ca="1" si="30"/>
        <v>61.38080904926715</v>
      </c>
      <c r="U113" s="311">
        <f t="shared" ca="1" si="31"/>
        <v>0</v>
      </c>
      <c r="V113" s="306">
        <f t="shared" ca="1" si="32"/>
        <v>1.1586355637901413</v>
      </c>
      <c r="W113" s="304">
        <f t="shared" ca="1" si="33"/>
        <v>108.43919710673272</v>
      </c>
      <c r="Y113" s="314" t="str">
        <f t="shared" ca="1" si="51"/>
        <v/>
      </c>
      <c r="Z113" s="315" t="str">
        <f t="shared" ca="1" si="52"/>
        <v/>
      </c>
      <c r="AA113" s="316" t="str">
        <f t="shared" ca="1" si="53"/>
        <v/>
      </c>
      <c r="AC113" s="310" t="e">
        <f t="shared" ca="1" si="54"/>
        <v>#N/A</v>
      </c>
      <c r="AD113" s="323" t="e">
        <f t="shared" ca="1" si="55"/>
        <v>#N/A</v>
      </c>
      <c r="AE113" s="324">
        <f t="shared" ca="1" si="34"/>
        <v>556.83374772555351</v>
      </c>
      <c r="AG113" s="306">
        <f t="shared" ca="1" si="56"/>
        <v>89.020740600719449</v>
      </c>
      <c r="AH113" s="304">
        <f t="shared" ca="1" si="57"/>
        <v>98.729358035298276</v>
      </c>
    </row>
    <row r="114" spans="1:34" x14ac:dyDescent="0.2">
      <c r="A114" s="347">
        <f t="shared" ca="1" si="35"/>
        <v>0.01</v>
      </c>
      <c r="B114" s="304">
        <f t="shared" ca="1" si="36"/>
        <v>5.0999999999999766</v>
      </c>
      <c r="D114" s="306">
        <f t="shared" ca="1" si="37"/>
        <v>14.116689912151445</v>
      </c>
      <c r="E114" s="307">
        <f t="shared" ca="1" si="38"/>
        <v>87.577470008345657</v>
      </c>
      <c r="F114" s="304">
        <f t="shared" ca="1" si="39"/>
        <v>88.707915019678609</v>
      </c>
      <c r="G114" s="306">
        <f t="shared" ca="1" si="40"/>
        <v>34.250806908969516</v>
      </c>
      <c r="H114" s="307">
        <f t="shared" ca="1" si="41"/>
        <v>236.18954613846702</v>
      </c>
      <c r="I114" s="304">
        <f t="shared" ca="1" si="42"/>
        <v>238.66005002725228</v>
      </c>
      <c r="J114" s="306">
        <f t="shared" ca="1" si="43"/>
        <v>71.78258618121464</v>
      </c>
      <c r="K114" s="307">
        <f t="shared" ca="1" si="44"/>
        <v>559.19126431343773</v>
      </c>
      <c r="L114" s="304">
        <f t="shared" ca="1" si="29"/>
        <v>563.77975288522418</v>
      </c>
      <c r="M114" s="306">
        <f t="shared" ca="1" si="45"/>
        <v>1.4267861267844555</v>
      </c>
      <c r="N114" s="304">
        <f t="shared" ca="1" si="46"/>
        <v>81.748823332566886</v>
      </c>
      <c r="P114" s="310">
        <f t="shared" ca="1" si="47"/>
        <v>4</v>
      </c>
      <c r="Q114" s="304">
        <f t="shared" ca="1" si="48"/>
        <v>723.80000000000371</v>
      </c>
      <c r="R114" s="306">
        <f t="shared" ca="1" si="49"/>
        <v>0.36324149691260743</v>
      </c>
      <c r="S114" s="307">
        <f t="shared" ca="1" si="50"/>
        <v>6.2533307908685032</v>
      </c>
      <c r="T114" s="304">
        <f t="shared" ca="1" si="30"/>
        <v>61.345175058420018</v>
      </c>
      <c r="U114" s="311">
        <f t="shared" ca="1" si="31"/>
        <v>0</v>
      </c>
      <c r="V114" s="306">
        <f t="shared" ca="1" si="32"/>
        <v>1.1583622329811196</v>
      </c>
      <c r="W114" s="304">
        <f t="shared" ca="1" si="33"/>
        <v>109.22395744531184</v>
      </c>
      <c r="Y114" s="314" t="str">
        <f t="shared" ca="1" si="51"/>
        <v/>
      </c>
      <c r="Z114" s="315" t="str">
        <f t="shared" ca="1" si="52"/>
        <v/>
      </c>
      <c r="AA114" s="316" t="str">
        <f t="shared" ca="1" si="53"/>
        <v/>
      </c>
      <c r="AC114" s="310" t="e">
        <f t="shared" ca="1" si="54"/>
        <v>#N/A</v>
      </c>
      <c r="AD114" s="323" t="e">
        <f t="shared" ca="1" si="55"/>
        <v>#N/A</v>
      </c>
      <c r="AE114" s="324">
        <f t="shared" ca="1" si="34"/>
        <v>559.19126431343773</v>
      </c>
      <c r="AG114" s="306">
        <f t="shared" ca="1" si="56"/>
        <v>88.696751481227665</v>
      </c>
      <c r="AH114" s="304">
        <f t="shared" ca="1" si="57"/>
        <v>98.405285674613353</v>
      </c>
    </row>
    <row r="115" spans="1:34" x14ac:dyDescent="0.2">
      <c r="A115" s="347">
        <f t="shared" ca="1" si="35"/>
        <v>0.01</v>
      </c>
      <c r="B115" s="304">
        <f t="shared" ca="1" si="36"/>
        <v>5.1099999999999763</v>
      </c>
      <c r="D115" s="306">
        <f t="shared" ca="1" si="37"/>
        <v>14.075860861468888</v>
      </c>
      <c r="E115" s="307">
        <f t="shared" ca="1" si="38"/>
        <v>87.255485120232791</v>
      </c>
      <c r="F115" s="304">
        <f t="shared" ca="1" si="39"/>
        <v>88.383536603592617</v>
      </c>
      <c r="G115" s="306">
        <f t="shared" ca="1" si="40"/>
        <v>34.391565517584205</v>
      </c>
      <c r="H115" s="307">
        <f t="shared" ca="1" si="41"/>
        <v>237.06210098966935</v>
      </c>
      <c r="I115" s="304">
        <f t="shared" ca="1" si="42"/>
        <v>239.54377367067272</v>
      </c>
      <c r="J115" s="306">
        <f t="shared" ca="1" si="43"/>
        <v>72.125798043347402</v>
      </c>
      <c r="K115" s="307">
        <f t="shared" ca="1" si="44"/>
        <v>561.55752254907839</v>
      </c>
      <c r="L115" s="304">
        <f t="shared" ca="1" si="29"/>
        <v>566.1704530217454</v>
      </c>
      <c r="M115" s="306">
        <f t="shared" ca="1" si="45"/>
        <v>1.4267273541442396</v>
      </c>
      <c r="N115" s="304">
        <f t="shared" ca="1" si="46"/>
        <v>81.745455908331664</v>
      </c>
      <c r="P115" s="310">
        <f t="shared" ca="1" si="47"/>
        <v>4</v>
      </c>
      <c r="Q115" s="304">
        <f t="shared" ca="1" si="48"/>
        <v>722.2000000000038</v>
      </c>
      <c r="R115" s="306">
        <f t="shared" ca="1" si="49"/>
        <v>0.3624385314593605</v>
      </c>
      <c r="S115" s="307">
        <f t="shared" ca="1" si="50"/>
        <v>6.2497064055539093</v>
      </c>
      <c r="T115" s="304">
        <f t="shared" ca="1" si="30"/>
        <v>61.309619838483854</v>
      </c>
      <c r="U115" s="311">
        <f t="shared" ca="1" si="31"/>
        <v>0</v>
      </c>
      <c r="V115" s="306">
        <f t="shared" ca="1" si="32"/>
        <v>1.1580879516915761</v>
      </c>
      <c r="W115" s="304">
        <f t="shared" ca="1" si="33"/>
        <v>110.00828172404698</v>
      </c>
      <c r="Y115" s="314" t="str">
        <f t="shared" ca="1" si="51"/>
        <v/>
      </c>
      <c r="Z115" s="315" t="str">
        <f t="shared" ca="1" si="52"/>
        <v/>
      </c>
      <c r="AA115" s="316" t="str">
        <f t="shared" ca="1" si="53"/>
        <v/>
      </c>
      <c r="AC115" s="310" t="e">
        <f t="shared" ca="1" si="54"/>
        <v>#N/A</v>
      </c>
      <c r="AD115" s="323" t="e">
        <f t="shared" ca="1" si="55"/>
        <v>#N/A</v>
      </c>
      <c r="AE115" s="324">
        <f t="shared" ca="1" si="34"/>
        <v>561.55752254907839</v>
      </c>
      <c r="AG115" s="306">
        <f t="shared" ca="1" si="56"/>
        <v>88.372322970161505</v>
      </c>
      <c r="AH115" s="304">
        <f t="shared" ca="1" si="57"/>
        <v>98.080774164040761</v>
      </c>
    </row>
    <row r="116" spans="1:34" x14ac:dyDescent="0.2">
      <c r="A116" s="347">
        <f t="shared" ca="1" si="35"/>
        <v>0.01</v>
      </c>
      <c r="B116" s="304">
        <f t="shared" ca="1" si="36"/>
        <v>5.1199999999999761</v>
      </c>
      <c r="D116" s="306">
        <f t="shared" ca="1" si="37"/>
        <v>14.034913065059708</v>
      </c>
      <c r="E116" s="307">
        <f t="shared" ca="1" si="38"/>
        <v>86.93308012263256</v>
      </c>
      <c r="F116" s="304">
        <f t="shared" ca="1" si="39"/>
        <v>88.058725884217949</v>
      </c>
      <c r="G116" s="306">
        <f t="shared" ca="1" si="40"/>
        <v>34.531914648234803</v>
      </c>
      <c r="H116" s="307">
        <f t="shared" ca="1" si="41"/>
        <v>237.93143179089566</v>
      </c>
      <c r="I116" s="304">
        <f t="shared" ca="1" si="42"/>
        <v>240.4242487007885</v>
      </c>
      <c r="J116" s="306">
        <f t="shared" ca="1" si="43"/>
        <v>72.470415444176496</v>
      </c>
      <c r="K116" s="307">
        <f t="shared" ca="1" si="44"/>
        <v>563.93249021298118</v>
      </c>
      <c r="L116" s="304">
        <f t="shared" ca="1" si="29"/>
        <v>568.56997338275403</v>
      </c>
      <c r="M116" s="306">
        <f t="shared" ca="1" si="45"/>
        <v>1.4266687730069758</v>
      </c>
      <c r="N116" s="304">
        <f t="shared" ca="1" si="46"/>
        <v>81.742099456407374</v>
      </c>
      <c r="P116" s="310">
        <f t="shared" ca="1" si="47"/>
        <v>4</v>
      </c>
      <c r="Q116" s="304">
        <f t="shared" ca="1" si="48"/>
        <v>720.60000000000377</v>
      </c>
      <c r="R116" s="306">
        <f t="shared" ca="1" si="49"/>
        <v>0.36163556600611352</v>
      </c>
      <c r="S116" s="307">
        <f t="shared" ca="1" si="50"/>
        <v>6.2460900498938479</v>
      </c>
      <c r="T116" s="304">
        <f t="shared" ca="1" si="30"/>
        <v>61.274143389458651</v>
      </c>
      <c r="U116" s="311">
        <f t="shared" ca="1" si="31"/>
        <v>0</v>
      </c>
      <c r="V116" s="306">
        <f t="shared" ca="1" si="32"/>
        <v>1.1578127243327918</v>
      </c>
      <c r="W116" s="304">
        <f t="shared" ca="1" si="33"/>
        <v>110.79213138470431</v>
      </c>
      <c r="Y116" s="314" t="str">
        <f t="shared" ca="1" si="51"/>
        <v/>
      </c>
      <c r="Z116" s="315" t="str">
        <f t="shared" ca="1" si="52"/>
        <v/>
      </c>
      <c r="AA116" s="316" t="str">
        <f t="shared" ca="1" si="53"/>
        <v/>
      </c>
      <c r="AC116" s="310" t="e">
        <f t="shared" ca="1" si="54"/>
        <v>#N/A</v>
      </c>
      <c r="AD116" s="323" t="e">
        <f t="shared" ca="1" si="55"/>
        <v>#N/A</v>
      </c>
      <c r="AE116" s="324">
        <f t="shared" ca="1" si="34"/>
        <v>563.93249021298118</v>
      </c>
      <c r="AG116" s="306">
        <f t="shared" ca="1" si="56"/>
        <v>88.047461757789492</v>
      </c>
      <c r="AH116" s="304">
        <f t="shared" ca="1" si="57"/>
        <v>97.755830191134322</v>
      </c>
    </row>
    <row r="117" spans="1:34" x14ac:dyDescent="0.2">
      <c r="A117" s="347">
        <f t="shared" ca="1" si="35"/>
        <v>0.01</v>
      </c>
      <c r="B117" s="304">
        <f t="shared" ca="1" si="36"/>
        <v>5.1299999999999759</v>
      </c>
      <c r="D117" s="306">
        <f t="shared" ca="1" si="37"/>
        <v>13.993847800541889</v>
      </c>
      <c r="E117" s="307">
        <f t="shared" ca="1" si="38"/>
        <v>86.610261585958966</v>
      </c>
      <c r="F117" s="304">
        <f t="shared" ca="1" si="39"/>
        <v>87.733489547908505</v>
      </c>
      <c r="G117" s="306">
        <f t="shared" ca="1" si="40"/>
        <v>34.671853126240222</v>
      </c>
      <c r="H117" s="307">
        <f t="shared" ca="1" si="41"/>
        <v>238.79753440675526</v>
      </c>
      <c r="I117" s="304">
        <f t="shared" ca="1" si="42"/>
        <v>241.30147085741737</v>
      </c>
      <c r="J117" s="306">
        <f t="shared" ca="1" si="43"/>
        <v>72.816434283048878</v>
      </c>
      <c r="K117" s="307">
        <f t="shared" ca="1" si="44"/>
        <v>566.31613504396944</v>
      </c>
      <c r="L117" s="304">
        <f t="shared" ca="1" si="29"/>
        <v>570.97828147210384</v>
      </c>
      <c r="M117" s="306">
        <f t="shared" ca="1" si="45"/>
        <v>1.4266103812652553</v>
      </c>
      <c r="N117" s="304">
        <f t="shared" ca="1" si="46"/>
        <v>81.738753856048376</v>
      </c>
      <c r="P117" s="310">
        <f t="shared" ca="1" si="47"/>
        <v>4</v>
      </c>
      <c r="Q117" s="304">
        <f t="shared" ca="1" si="48"/>
        <v>719.00000000000387</v>
      </c>
      <c r="R117" s="306">
        <f t="shared" ca="1" si="49"/>
        <v>0.36083260055286653</v>
      </c>
      <c r="S117" s="307">
        <f t="shared" ca="1" si="50"/>
        <v>6.2424817238883188</v>
      </c>
      <c r="T117" s="304">
        <f t="shared" ca="1" si="30"/>
        <v>61.238745711344407</v>
      </c>
      <c r="U117" s="311">
        <f t="shared" ca="1" si="31"/>
        <v>0</v>
      </c>
      <c r="V117" s="306">
        <f t="shared" ca="1" si="32"/>
        <v>1.1575365553195238</v>
      </c>
      <c r="W117" s="304">
        <f t="shared" ca="1" si="33"/>
        <v>111.57546804143084</v>
      </c>
      <c r="Y117" s="314" t="str">
        <f t="shared" ca="1" si="51"/>
        <v/>
      </c>
      <c r="Z117" s="315" t="str">
        <f t="shared" ca="1" si="52"/>
        <v/>
      </c>
      <c r="AA117" s="316" t="str">
        <f t="shared" ca="1" si="53"/>
        <v/>
      </c>
      <c r="AC117" s="310" t="e">
        <f t="shared" ca="1" si="54"/>
        <v>#N/A</v>
      </c>
      <c r="AD117" s="323" t="e">
        <f t="shared" ca="1" si="55"/>
        <v>#N/A</v>
      </c>
      <c r="AE117" s="324">
        <f t="shared" ca="1" si="34"/>
        <v>566.31613504396944</v>
      </c>
      <c r="AG117" s="306">
        <f t="shared" ca="1" si="56"/>
        <v>87.722174525862442</v>
      </c>
      <c r="AH117" s="304">
        <f t="shared" ca="1" si="57"/>
        <v>97.430460434966051</v>
      </c>
    </row>
    <row r="118" spans="1:34" x14ac:dyDescent="0.2">
      <c r="A118" s="347">
        <f t="shared" ca="1" si="35"/>
        <v>0.01</v>
      </c>
      <c r="B118" s="304">
        <f t="shared" ca="1" si="36"/>
        <v>5.1399999999999757</v>
      </c>
      <c r="D118" s="306">
        <f t="shared" ca="1" si="37"/>
        <v>13.952666340721784</v>
      </c>
      <c r="E118" s="307">
        <f t="shared" ca="1" si="38"/>
        <v>86.287036072262239</v>
      </c>
      <c r="F118" s="304">
        <f t="shared" ca="1" si="39"/>
        <v>87.407834272171485</v>
      </c>
      <c r="G118" s="306">
        <f t="shared" ca="1" si="40"/>
        <v>34.81137978964744</v>
      </c>
      <c r="H118" s="307">
        <f t="shared" ca="1" si="41"/>
        <v>239.66040476747787</v>
      </c>
      <c r="I118" s="304">
        <f t="shared" ca="1" si="42"/>
        <v>242.17543594710509</v>
      </c>
      <c r="J118" s="306">
        <f t="shared" ca="1" si="43"/>
        <v>73.16385044762832</v>
      </c>
      <c r="K118" s="307">
        <f t="shared" ca="1" si="44"/>
        <v>568.70842473984055</v>
      </c>
      <c r="L118" s="304">
        <f t="shared" ca="1" si="29"/>
        <v>573.39534475124037</v>
      </c>
      <c r="M118" s="306">
        <f t="shared" ca="1" si="45"/>
        <v>1.4265521768403469</v>
      </c>
      <c r="N118" s="304">
        <f t="shared" ca="1" si="46"/>
        <v>81.735418988152134</v>
      </c>
      <c r="P118" s="310">
        <f t="shared" ca="1" si="47"/>
        <v>4</v>
      </c>
      <c r="Q118" s="304">
        <f t="shared" ca="1" si="48"/>
        <v>717.40000000000384</v>
      </c>
      <c r="R118" s="306">
        <f t="shared" ca="1" si="49"/>
        <v>0.36002963509961955</v>
      </c>
      <c r="S118" s="307">
        <f t="shared" ca="1" si="50"/>
        <v>6.238881427537323</v>
      </c>
      <c r="T118" s="304">
        <f t="shared" ca="1" si="30"/>
        <v>61.203426804141145</v>
      </c>
      <c r="U118" s="311">
        <f t="shared" ca="1" si="31"/>
        <v>0</v>
      </c>
      <c r="V118" s="306">
        <f t="shared" ca="1" si="32"/>
        <v>1.1572594490698929</v>
      </c>
      <c r="W118" s="304">
        <f t="shared" ca="1" si="33"/>
        <v>112.35825348248179</v>
      </c>
      <c r="Y118" s="314" t="str">
        <f t="shared" ca="1" si="51"/>
        <v/>
      </c>
      <c r="Z118" s="315" t="str">
        <f t="shared" ca="1" si="52"/>
        <v/>
      </c>
      <c r="AA118" s="316" t="str">
        <f t="shared" ca="1" si="53"/>
        <v/>
      </c>
      <c r="AC118" s="310" t="e">
        <f t="shared" ca="1" si="54"/>
        <v>#N/A</v>
      </c>
      <c r="AD118" s="323" t="e">
        <f t="shared" ca="1" si="55"/>
        <v>#N/A</v>
      </c>
      <c r="AE118" s="324">
        <f t="shared" ca="1" si="34"/>
        <v>568.70842473984055</v>
      </c>
      <c r="AG118" s="306">
        <f t="shared" ca="1" si="56"/>
        <v>87.39646794722249</v>
      </c>
      <c r="AH118" s="304">
        <f t="shared" ca="1" si="57"/>
        <v>97.104671565734577</v>
      </c>
    </row>
    <row r="119" spans="1:34" x14ac:dyDescent="0.2">
      <c r="A119" s="347">
        <f t="shared" ca="1" si="35"/>
        <v>0.01</v>
      </c>
      <c r="B119" s="304">
        <f t="shared" ca="1" si="36"/>
        <v>5.1499999999999755</v>
      </c>
      <c r="D119" s="306">
        <f t="shared" ca="1" si="37"/>
        <v>13.911369953614685</v>
      </c>
      <c r="E119" s="307">
        <f t="shared" ca="1" si="38"/>
        <v>85.963410134835357</v>
      </c>
      <c r="F119" s="304">
        <f t="shared" ca="1" si="39"/>
        <v>87.081766725280943</v>
      </c>
      <c r="G119" s="306">
        <f t="shared" ca="1" si="40"/>
        <v>34.950493489183586</v>
      </c>
      <c r="H119" s="307">
        <f t="shared" ca="1" si="41"/>
        <v>240.52003886882622</v>
      </c>
      <c r="I119" s="304">
        <f t="shared" ca="1" si="42"/>
        <v>243.04613984303296</v>
      </c>
      <c r="J119" s="306">
        <f t="shared" ca="1" si="43"/>
        <v>73.51265981402247</v>
      </c>
      <c r="K119" s="307">
        <f t="shared" ca="1" si="44"/>
        <v>571.10932695802205</v>
      </c>
      <c r="L119" s="304">
        <f t="shared" ca="1" si="29"/>
        <v>575.82113063986901</v>
      </c>
      <c r="M119" s="306">
        <f t="shared" ca="1" si="45"/>
        <v>1.4264941576816577</v>
      </c>
      <c r="N119" s="304">
        <f t="shared" ca="1" si="46"/>
        <v>81.732094735228344</v>
      </c>
      <c r="P119" s="310">
        <f t="shared" ca="1" si="47"/>
        <v>4</v>
      </c>
      <c r="Q119" s="304">
        <f t="shared" ca="1" si="48"/>
        <v>715.80000000000393</v>
      </c>
      <c r="R119" s="306">
        <f t="shared" ca="1" si="49"/>
        <v>0.35922666964637262</v>
      </c>
      <c r="S119" s="307">
        <f t="shared" ca="1" si="50"/>
        <v>6.2352891608408596</v>
      </c>
      <c r="T119" s="304">
        <f t="shared" ca="1" si="30"/>
        <v>61.168186667848836</v>
      </c>
      <c r="U119" s="311">
        <f t="shared" ca="1" si="31"/>
        <v>0</v>
      </c>
      <c r="V119" s="306">
        <f t="shared" ca="1" si="32"/>
        <v>1.1569814100052684</v>
      </c>
      <c r="W119" s="304">
        <f t="shared" ca="1" si="33"/>
        <v>113.14044967192433</v>
      </c>
      <c r="Y119" s="314" t="str">
        <f t="shared" ca="1" si="51"/>
        <v/>
      </c>
      <c r="Z119" s="315" t="str">
        <f t="shared" ca="1" si="52"/>
        <v/>
      </c>
      <c r="AA119" s="316" t="str">
        <f t="shared" ca="1" si="53"/>
        <v/>
      </c>
      <c r="AC119" s="310" t="e">
        <f t="shared" ca="1" si="54"/>
        <v>#N/A</v>
      </c>
      <c r="AD119" s="323" t="e">
        <f t="shared" ca="1" si="55"/>
        <v>#N/A</v>
      </c>
      <c r="AE119" s="324">
        <f t="shared" ca="1" si="34"/>
        <v>571.10932695802205</v>
      </c>
      <c r="AG119" s="306">
        <f t="shared" ca="1" si="56"/>
        <v>87.070348685415397</v>
      </c>
      <c r="AH119" s="304">
        <f t="shared" ca="1" si="57"/>
        <v>96.778470244376763</v>
      </c>
    </row>
    <row r="120" spans="1:34" x14ac:dyDescent="0.2">
      <c r="A120" s="347">
        <f t="shared" ca="1" si="35"/>
        <v>0.01</v>
      </c>
      <c r="B120" s="304">
        <f t="shared" ca="1" si="36"/>
        <v>5.1599999999999753</v>
      </c>
      <c r="D120" s="306">
        <f t="shared" ca="1" si="37"/>
        <v>13.869959902463624</v>
      </c>
      <c r="E120" s="307">
        <f t="shared" ca="1" si="38"/>
        <v>85.639390317822944</v>
      </c>
      <c r="F120" s="304">
        <f t="shared" ca="1" si="39"/>
        <v>86.755293565893567</v>
      </c>
      <c r="G120" s="306">
        <f t="shared" ca="1" si="40"/>
        <v>35.089193088208219</v>
      </c>
      <c r="H120" s="307">
        <f t="shared" ca="1" si="41"/>
        <v>241.37643277200445</v>
      </c>
      <c r="I120" s="304">
        <f t="shared" ca="1" si="42"/>
        <v>243.91357848492063</v>
      </c>
      <c r="J120" s="306">
        <f t="shared" ca="1" si="43"/>
        <v>73.862858246909425</v>
      </c>
      <c r="K120" s="307">
        <f t="shared" ca="1" si="44"/>
        <v>573.51880931622622</v>
      </c>
      <c r="L120" s="304">
        <f t="shared" ca="1" si="29"/>
        <v>578.25560651662067</v>
      </c>
      <c r="M120" s="306">
        <f t="shared" ca="1" si="45"/>
        <v>1.4264363217662046</v>
      </c>
      <c r="N120" s="304">
        <f t="shared" ca="1" si="46"/>
        <v>81.728780981368615</v>
      </c>
      <c r="P120" s="310">
        <f t="shared" ca="1" si="47"/>
        <v>4</v>
      </c>
      <c r="Q120" s="304">
        <f t="shared" ca="1" si="48"/>
        <v>714.20000000000391</v>
      </c>
      <c r="R120" s="306">
        <f t="shared" ca="1" si="49"/>
        <v>0.35842370419312564</v>
      </c>
      <c r="S120" s="307">
        <f t="shared" ca="1" si="50"/>
        <v>6.2317049237989286</v>
      </c>
      <c r="T120" s="304">
        <f t="shared" ca="1" si="30"/>
        <v>61.133025302467495</v>
      </c>
      <c r="U120" s="311">
        <f t="shared" ca="1" si="31"/>
        <v>0</v>
      </c>
      <c r="V120" s="306">
        <f t="shared" ca="1" si="32"/>
        <v>1.1567024425501546</v>
      </c>
      <c r="W120" s="304">
        <f t="shared" ca="1" si="33"/>
        <v>113.92201875131606</v>
      </c>
      <c r="Y120" s="314" t="str">
        <f t="shared" ca="1" si="51"/>
        <v/>
      </c>
      <c r="Z120" s="315" t="str">
        <f t="shared" ca="1" si="52"/>
        <v/>
      </c>
      <c r="AA120" s="316" t="str">
        <f t="shared" ca="1" si="53"/>
        <v/>
      </c>
      <c r="AC120" s="310" t="e">
        <f t="shared" ca="1" si="54"/>
        <v>#N/A</v>
      </c>
      <c r="AD120" s="323" t="e">
        <f t="shared" ca="1" si="55"/>
        <v>#N/A</v>
      </c>
      <c r="AE120" s="324">
        <f t="shared" ca="1" si="34"/>
        <v>573.51880931622622</v>
      </c>
      <c r="AG120" s="306">
        <f t="shared" ca="1" si="56"/>
        <v>86.743823394305167</v>
      </c>
      <c r="AH120" s="304">
        <f t="shared" ca="1" si="57"/>
        <v>96.451863122181635</v>
      </c>
    </row>
    <row r="121" spans="1:34" x14ac:dyDescent="0.2">
      <c r="A121" s="347">
        <f t="shared" ca="1" si="35"/>
        <v>0.01</v>
      </c>
      <c r="B121" s="304">
        <f t="shared" ca="1" si="36"/>
        <v>5.1699999999999751</v>
      </c>
      <c r="D121" s="306">
        <f t="shared" ca="1" si="37"/>
        <v>13.828437445756839</v>
      </c>
      <c r="E121" s="307">
        <f t="shared" ca="1" si="38"/>
        <v>85.314983155833389</v>
      </c>
      <c r="F121" s="304">
        <f t="shared" ca="1" si="39"/>
        <v>86.428421442667485</v>
      </c>
      <c r="G121" s="306">
        <f t="shared" ca="1" si="40"/>
        <v>35.227477462665789</v>
      </c>
      <c r="H121" s="307">
        <f t="shared" ca="1" si="41"/>
        <v>242.22958260356279</v>
      </c>
      <c r="I121" s="304">
        <f t="shared" ca="1" si="42"/>
        <v>244.77774787892562</v>
      </c>
      <c r="J121" s="306">
        <f t="shared" ca="1" si="43"/>
        <v>74.2144415996638</v>
      </c>
      <c r="K121" s="307">
        <f t="shared" ca="1" si="44"/>
        <v>575.93683939310404</v>
      </c>
      <c r="L121" s="304">
        <f t="shared" ca="1" si="29"/>
        <v>580.69873971971731</v>
      </c>
      <c r="M121" s="306">
        <f t="shared" ca="1" si="45"/>
        <v>1.4263786670981011</v>
      </c>
      <c r="N121" s="304">
        <f t="shared" ca="1" si="46"/>
        <v>81.725477612217048</v>
      </c>
      <c r="P121" s="310">
        <f t="shared" ca="1" si="47"/>
        <v>4</v>
      </c>
      <c r="Q121" s="304">
        <f t="shared" ca="1" si="48"/>
        <v>712.600000000004</v>
      </c>
      <c r="R121" s="306">
        <f t="shared" ca="1" si="49"/>
        <v>0.35762073873987865</v>
      </c>
      <c r="S121" s="307">
        <f t="shared" ca="1" si="50"/>
        <v>6.22812871641153</v>
      </c>
      <c r="T121" s="304">
        <f t="shared" ca="1" si="30"/>
        <v>61.097942707997113</v>
      </c>
      <c r="U121" s="311">
        <f t="shared" ca="1" si="31"/>
        <v>0</v>
      </c>
      <c r="V121" s="306">
        <f t="shared" ca="1" si="32"/>
        <v>1.1564225511320767</v>
      </c>
      <c r="W121" s="304">
        <f t="shared" ca="1" si="33"/>
        <v>114.70292304135972</v>
      </c>
      <c r="Y121" s="314" t="str">
        <f t="shared" ca="1" si="51"/>
        <v/>
      </c>
      <c r="Z121" s="315" t="str">
        <f t="shared" ca="1" si="52"/>
        <v/>
      </c>
      <c r="AA121" s="316" t="str">
        <f t="shared" ca="1" si="53"/>
        <v/>
      </c>
      <c r="AC121" s="310" t="e">
        <f t="shared" ca="1" si="54"/>
        <v>#N/A</v>
      </c>
      <c r="AD121" s="323" t="e">
        <f t="shared" ca="1" si="55"/>
        <v>#N/A</v>
      </c>
      <c r="AE121" s="324">
        <f t="shared" ca="1" si="34"/>
        <v>575.93683939310404</v>
      </c>
      <c r="AG121" s="306">
        <f t="shared" ca="1" si="56"/>
        <v>86.416898717691481</v>
      </c>
      <c r="AH121" s="304">
        <f t="shared" ca="1" si="57"/>
        <v>96.12485684040729</v>
      </c>
    </row>
    <row r="122" spans="1:34" x14ac:dyDescent="0.2">
      <c r="A122" s="347">
        <f t="shared" ca="1" si="35"/>
        <v>0.01</v>
      </c>
      <c r="B122" s="304">
        <f t="shared" ca="1" si="36"/>
        <v>5.1799999999999748</v>
      </c>
      <c r="D122" s="306">
        <f t="shared" ca="1" si="37"/>
        <v>13.786803837243504</v>
      </c>
      <c r="E122" s="307">
        <f t="shared" ca="1" si="38"/>
        <v>84.990195173553943</v>
      </c>
      <c r="F122" s="304">
        <f t="shared" ca="1" si="39"/>
        <v>86.101156993883791</v>
      </c>
      <c r="G122" s="306">
        <f t="shared" ca="1" si="40"/>
        <v>35.36534550103822</v>
      </c>
      <c r="H122" s="307">
        <f t="shared" ca="1" si="41"/>
        <v>243.07948455529834</v>
      </c>
      <c r="I122" s="304">
        <f t="shared" ca="1" si="42"/>
        <v>245.63864409753879</v>
      </c>
      <c r="J122" s="306">
        <f t="shared" ca="1" si="43"/>
        <v>74.567405714482319</v>
      </c>
      <c r="K122" s="307">
        <f t="shared" ca="1" si="44"/>
        <v>578.36338472889838</v>
      </c>
      <c r="L122" s="304">
        <f t="shared" ca="1" si="29"/>
        <v>583.15049754763641</v>
      </c>
      <c r="M122" s="306">
        <f t="shared" ca="1" si="45"/>
        <v>1.4263211917080523</v>
      </c>
      <c r="N122" s="304">
        <f t="shared" ca="1" si="46"/>
        <v>81.722184514941389</v>
      </c>
      <c r="P122" s="310">
        <f t="shared" ca="1" si="47"/>
        <v>4</v>
      </c>
      <c r="Q122" s="304">
        <f t="shared" ca="1" si="48"/>
        <v>711.00000000000398</v>
      </c>
      <c r="R122" s="306">
        <f t="shared" ca="1" si="49"/>
        <v>0.35681777328663167</v>
      </c>
      <c r="S122" s="307">
        <f t="shared" ca="1" si="50"/>
        <v>6.2245605386786638</v>
      </c>
      <c r="T122" s="304">
        <f t="shared" ca="1" si="30"/>
        <v>61.062938884437692</v>
      </c>
      <c r="U122" s="311">
        <f t="shared" ca="1" si="31"/>
        <v>0</v>
      </c>
      <c r="V122" s="306">
        <f t="shared" ca="1" si="32"/>
        <v>1.1561417401814693</v>
      </c>
      <c r="W122" s="304">
        <f t="shared" ca="1" si="33"/>
        <v>115.48312504353352</v>
      </c>
      <c r="Y122" s="314" t="str">
        <f t="shared" ca="1" si="51"/>
        <v/>
      </c>
      <c r="Z122" s="315" t="str">
        <f t="shared" ca="1" si="52"/>
        <v/>
      </c>
      <c r="AA122" s="316" t="str">
        <f t="shared" ca="1" si="53"/>
        <v/>
      </c>
      <c r="AC122" s="310" t="e">
        <f t="shared" ca="1" si="54"/>
        <v>#N/A</v>
      </c>
      <c r="AD122" s="323" t="e">
        <f t="shared" ca="1" si="55"/>
        <v>#N/A</v>
      </c>
      <c r="AE122" s="324">
        <f t="shared" ca="1" si="34"/>
        <v>578.36338472889838</v>
      </c>
      <c r="AG122" s="306">
        <f t="shared" ca="1" si="56"/>
        <v>86.089581288930077</v>
      </c>
      <c r="AH122" s="304">
        <f t="shared" ca="1" si="57"/>
        <v>95.797458029900525</v>
      </c>
    </row>
    <row r="123" spans="1:34" x14ac:dyDescent="0.2">
      <c r="A123" s="347">
        <f t="shared" ca="1" si="35"/>
        <v>0.01</v>
      </c>
      <c r="B123" s="304">
        <f t="shared" ca="1" si="36"/>
        <v>5.1899999999999746</v>
      </c>
      <c r="D123" s="306">
        <f t="shared" ca="1" si="37"/>
        <v>13.745060325948382</v>
      </c>
      <c r="E123" s="307">
        <f t="shared" ca="1" si="38"/>
        <v>84.665032885368745</v>
      </c>
      <c r="F123" s="304">
        <f t="shared" ca="1" si="39"/>
        <v>85.773506847070976</v>
      </c>
      <c r="G123" s="306">
        <f t="shared" ca="1" si="40"/>
        <v>35.502796104297701</v>
      </c>
      <c r="H123" s="307">
        <f t="shared" ca="1" si="41"/>
        <v>243.92613488415202</v>
      </c>
      <c r="I123" s="304">
        <f t="shared" ca="1" si="42"/>
        <v>246.49626327947624</v>
      </c>
      <c r="J123" s="306">
        <f t="shared" ca="1" si="43"/>
        <v>74.921746422509003</v>
      </c>
      <c r="K123" s="307">
        <f t="shared" ca="1" si="44"/>
        <v>580.79841282609561</v>
      </c>
      <c r="L123" s="304">
        <f t="shared" ca="1" si="29"/>
        <v>585.61084725977412</v>
      </c>
      <c r="M123" s="306">
        <f t="shared" ca="1" si="45"/>
        <v>1.4262638936528633</v>
      </c>
      <c r="N123" s="304">
        <f t="shared" ca="1" si="46"/>
        <v>81.718901578204751</v>
      </c>
      <c r="P123" s="310">
        <f t="shared" ca="1" si="47"/>
        <v>4</v>
      </c>
      <c r="Q123" s="304">
        <f t="shared" ca="1" si="48"/>
        <v>709.40000000000407</v>
      </c>
      <c r="R123" s="306">
        <f t="shared" ca="1" si="49"/>
        <v>0.35601480783338474</v>
      </c>
      <c r="S123" s="307">
        <f t="shared" ca="1" si="50"/>
        <v>6.2210003906003299</v>
      </c>
      <c r="T123" s="304">
        <f t="shared" ca="1" si="30"/>
        <v>61.028013831789238</v>
      </c>
      <c r="U123" s="311">
        <f t="shared" ca="1" si="31"/>
        <v>0</v>
      </c>
      <c r="V123" s="306">
        <f t="shared" ca="1" si="32"/>
        <v>1.1558600141315638</v>
      </c>
      <c r="W123" s="304">
        <f t="shared" ca="1" si="33"/>
        <v>116.26258744169677</v>
      </c>
      <c r="Y123" s="314" t="str">
        <f t="shared" ca="1" si="51"/>
        <v/>
      </c>
      <c r="Z123" s="315" t="str">
        <f t="shared" ca="1" si="52"/>
        <v/>
      </c>
      <c r="AA123" s="316" t="str">
        <f t="shared" ca="1" si="53"/>
        <v/>
      </c>
      <c r="AC123" s="310" t="e">
        <f t="shared" ca="1" si="54"/>
        <v>#N/A</v>
      </c>
      <c r="AD123" s="323" t="e">
        <f t="shared" ca="1" si="55"/>
        <v>#N/A</v>
      </c>
      <c r="AE123" s="324">
        <f t="shared" ca="1" si="34"/>
        <v>580.79841282609561</v>
      </c>
      <c r="AG123" s="306">
        <f t="shared" ca="1" si="56"/>
        <v>85.761877730555653</v>
      </c>
      <c r="AH123" s="304">
        <f t="shared" ca="1" si="57"/>
        <v>95.469673310719287</v>
      </c>
    </row>
    <row r="124" spans="1:34" x14ac:dyDescent="0.2">
      <c r="A124" s="347">
        <f t="shared" ca="1" si="35"/>
        <v>0.01</v>
      </c>
      <c r="B124" s="304">
        <f t="shared" ca="1" si="36"/>
        <v>5.1999999999999744</v>
      </c>
      <c r="D124" s="306">
        <f t="shared" ca="1" si="37"/>
        <v>13.703208156184932</v>
      </c>
      <c r="E124" s="307">
        <f t="shared" ca="1" si="38"/>
        <v>84.339502794979865</v>
      </c>
      <c r="F124" s="304">
        <f t="shared" ca="1" si="39"/>
        <v>85.44547761863204</v>
      </c>
      <c r="G124" s="306">
        <f t="shared" ca="1" si="40"/>
        <v>35.63982818585955</v>
      </c>
      <c r="H124" s="307">
        <f t="shared" ca="1" si="41"/>
        <v>244.76952991210183</v>
      </c>
      <c r="I124" s="304">
        <f t="shared" ca="1" si="42"/>
        <v>247.35060162956731</v>
      </c>
      <c r="J124" s="306">
        <f t="shared" ca="1" si="43"/>
        <v>75.277459543959793</v>
      </c>
      <c r="K124" s="307">
        <f t="shared" ca="1" si="44"/>
        <v>583.24189115007687</v>
      </c>
      <c r="L124" s="304">
        <f t="shared" ca="1" si="29"/>
        <v>588.07975607710785</v>
      </c>
      <c r="M124" s="306">
        <f t="shared" ca="1" si="45"/>
        <v>1.42620677101496</v>
      </c>
      <c r="N124" s="304">
        <f t="shared" ca="1" si="46"/>
        <v>81.715628692138239</v>
      </c>
      <c r="P124" s="310">
        <f t="shared" ca="1" si="47"/>
        <v>4</v>
      </c>
      <c r="Q124" s="304">
        <f t="shared" ca="1" si="48"/>
        <v>707.80000000000405</v>
      </c>
      <c r="R124" s="306">
        <f t="shared" ca="1" si="49"/>
        <v>0.35521184238013775</v>
      </c>
      <c r="S124" s="307">
        <f t="shared" ca="1" si="50"/>
        <v>6.2174482721765285</v>
      </c>
      <c r="T124" s="304">
        <f t="shared" ca="1" si="30"/>
        <v>60.993167550051744</v>
      </c>
      <c r="U124" s="311">
        <f t="shared" ca="1" si="31"/>
        <v>0</v>
      </c>
      <c r="V124" s="306">
        <f t="shared" ca="1" si="32"/>
        <v>1.155577377418274</v>
      </c>
      <c r="W124" s="304">
        <f t="shared" ca="1" si="33"/>
        <v>117.041273103671</v>
      </c>
      <c r="Y124" s="314" t="str">
        <f t="shared" ca="1" si="51"/>
        <v/>
      </c>
      <c r="Z124" s="315" t="str">
        <f t="shared" ca="1" si="52"/>
        <v/>
      </c>
      <c r="AA124" s="316" t="str">
        <f t="shared" ca="1" si="53"/>
        <v/>
      </c>
      <c r="AC124" s="310" t="e">
        <f t="shared" ca="1" si="54"/>
        <v>#N/A</v>
      </c>
      <c r="AD124" s="323" t="e">
        <f t="shared" ca="1" si="55"/>
        <v>#N/A</v>
      </c>
      <c r="AE124" s="324">
        <f t="shared" ca="1" si="34"/>
        <v>583.24189115007687</v>
      </c>
      <c r="AG124" s="306">
        <f t="shared" ca="1" si="56"/>
        <v>85.433794653907768</v>
      </c>
      <c r="AH124" s="304">
        <f t="shared" ca="1" si="57"/>
        <v>95.141509291757899</v>
      </c>
    </row>
    <row r="125" spans="1:34" x14ac:dyDescent="0.2">
      <c r="A125" s="347">
        <f t="shared" ca="1" si="35"/>
        <v>0.01</v>
      </c>
      <c r="B125" s="304">
        <f t="shared" ca="1" si="36"/>
        <v>5.2099999999999742</v>
      </c>
      <c r="D125" s="306">
        <f t="shared" ca="1" si="37"/>
        <v>13.661248567567112</v>
      </c>
      <c r="E125" s="307">
        <f t="shared" ca="1" si="38"/>
        <v>84.013611395031546</v>
      </c>
      <c r="F125" s="304">
        <f t="shared" ca="1" si="39"/>
        <v>85.117075913474778</v>
      </c>
      <c r="G125" s="306">
        <f t="shared" ca="1" si="40"/>
        <v>35.776440671535219</v>
      </c>
      <c r="H125" s="307">
        <f t="shared" ca="1" si="41"/>
        <v>245.60966602605214</v>
      </c>
      <c r="I125" s="304">
        <f t="shared" ca="1" si="42"/>
        <v>248.20165541863886</v>
      </c>
      <c r="J125" s="306">
        <f t="shared" ca="1" si="43"/>
        <v>75.634540888246761</v>
      </c>
      <c r="K125" s="307">
        <f t="shared" ca="1" si="44"/>
        <v>585.69378712976766</v>
      </c>
      <c r="L125" s="304">
        <f t="shared" ca="1" si="29"/>
        <v>590.55719118285697</v>
      </c>
      <c r="M125" s="306">
        <f t="shared" ca="1" si="45"/>
        <v>1.4261498219019177</v>
      </c>
      <c r="N125" s="304">
        <f t="shared" ca="1" si="46"/>
        <v>81.7123657483139</v>
      </c>
      <c r="P125" s="310">
        <f t="shared" ca="1" si="47"/>
        <v>4</v>
      </c>
      <c r="Q125" s="304">
        <f t="shared" ca="1" si="48"/>
        <v>706.20000000000414</v>
      </c>
      <c r="R125" s="306">
        <f t="shared" ca="1" si="49"/>
        <v>0.35440887692689077</v>
      </c>
      <c r="S125" s="307">
        <f t="shared" ca="1" si="50"/>
        <v>6.2139041834072595</v>
      </c>
      <c r="T125" s="304">
        <f t="shared" ca="1" si="30"/>
        <v>60.958400039225218</v>
      </c>
      <c r="U125" s="311">
        <f t="shared" ca="1" si="31"/>
        <v>0</v>
      </c>
      <c r="V125" s="306">
        <f t="shared" ca="1" si="32"/>
        <v>1.1552938344800863</v>
      </c>
      <c r="W125" s="304">
        <f t="shared" ca="1" si="33"/>
        <v>117.81914508279667</v>
      </c>
      <c r="Y125" s="314" t="str">
        <f t="shared" ca="1" si="51"/>
        <v/>
      </c>
      <c r="Z125" s="315" t="str">
        <f t="shared" ca="1" si="52"/>
        <v/>
      </c>
      <c r="AA125" s="316" t="str">
        <f t="shared" ca="1" si="53"/>
        <v/>
      </c>
      <c r="AC125" s="310" t="e">
        <f t="shared" ca="1" si="54"/>
        <v>#N/A</v>
      </c>
      <c r="AD125" s="323" t="e">
        <f t="shared" ca="1" si="55"/>
        <v>#N/A</v>
      </c>
      <c r="AE125" s="324">
        <f t="shared" ca="1" si="34"/>
        <v>585.69378712976766</v>
      </c>
      <c r="AG125" s="306">
        <f t="shared" ca="1" si="56"/>
        <v>85.105338658759706</v>
      </c>
      <c r="AH125" s="304">
        <f t="shared" ca="1" si="57"/>
        <v>94.812972570375351</v>
      </c>
    </row>
    <row r="126" spans="1:34" x14ac:dyDescent="0.2">
      <c r="A126" s="347">
        <f t="shared" ca="1" si="35"/>
        <v>0.01</v>
      </c>
      <c r="B126" s="304">
        <f t="shared" ca="1" si="36"/>
        <v>5.219999999999974</v>
      </c>
      <c r="D126" s="306">
        <f t="shared" ca="1" si="37"/>
        <v>13.619182795020091</v>
      </c>
      <c r="E126" s="307">
        <f t="shared" ca="1" si="38"/>
        <v>83.687365166737266</v>
      </c>
      <c r="F126" s="304">
        <f t="shared" ca="1" si="39"/>
        <v>84.788308324644618</v>
      </c>
      <c r="G126" s="306">
        <f t="shared" ca="1" si="40"/>
        <v>35.912632499485419</v>
      </c>
      <c r="H126" s="307">
        <f t="shared" ca="1" si="41"/>
        <v>246.4465396777195</v>
      </c>
      <c r="I126" s="304">
        <f t="shared" ca="1" si="42"/>
        <v>249.04942098339612</v>
      </c>
      <c r="J126" s="306">
        <f t="shared" ca="1" si="43"/>
        <v>75.992986254101865</v>
      </c>
      <c r="K126" s="307">
        <f t="shared" ca="1" si="44"/>
        <v>588.15406815828646</v>
      </c>
      <c r="L126" s="304">
        <f t="shared" ca="1" si="29"/>
        <v>593.04311972314326</v>
      </c>
      <c r="M126" s="306">
        <f t="shared" ca="1" si="45"/>
        <v>1.4260930444460045</v>
      </c>
      <c r="N126" s="304">
        <f t="shared" ca="1" si="46"/>
        <v>81.709112639718583</v>
      </c>
      <c r="P126" s="310">
        <f t="shared" ca="1" si="47"/>
        <v>4</v>
      </c>
      <c r="Q126" s="304">
        <f t="shared" ca="1" si="48"/>
        <v>704.60000000000412</v>
      </c>
      <c r="R126" s="306">
        <f t="shared" ca="1" si="49"/>
        <v>0.35360591147364379</v>
      </c>
      <c r="S126" s="307">
        <f t="shared" ca="1" si="50"/>
        <v>6.2103681242925228</v>
      </c>
      <c r="T126" s="304">
        <f t="shared" ca="1" si="30"/>
        <v>60.923711299309652</v>
      </c>
      <c r="U126" s="311">
        <f t="shared" ca="1" si="31"/>
        <v>0</v>
      </c>
      <c r="V126" s="306">
        <f t="shared" ca="1" si="32"/>
        <v>1.1550093897579474</v>
      </c>
      <c r="W126" s="304">
        <f t="shared" ca="1" si="33"/>
        <v>118.59616661946536</v>
      </c>
      <c r="Y126" s="314" t="str">
        <f t="shared" ca="1" si="51"/>
        <v/>
      </c>
      <c r="Z126" s="315" t="str">
        <f t="shared" ca="1" si="52"/>
        <v/>
      </c>
      <c r="AA126" s="316" t="str">
        <f t="shared" ca="1" si="53"/>
        <v/>
      </c>
      <c r="AC126" s="310" t="e">
        <f t="shared" ca="1" si="54"/>
        <v>#N/A</v>
      </c>
      <c r="AD126" s="323" t="e">
        <f t="shared" ca="1" si="55"/>
        <v>#N/A</v>
      </c>
      <c r="AE126" s="324">
        <f t="shared" ca="1" si="34"/>
        <v>588.15406815828646</v>
      </c>
      <c r="AG126" s="306">
        <f t="shared" ca="1" si="56"/>
        <v>84.776516332949882</v>
      </c>
      <c r="AH126" s="304">
        <f t="shared" ca="1" si="57"/>
        <v>94.484069732026185</v>
      </c>
    </row>
    <row r="127" spans="1:34" x14ac:dyDescent="0.2">
      <c r="A127" s="347">
        <f t="shared" ca="1" si="35"/>
        <v>0.01</v>
      </c>
      <c r="B127" s="304">
        <f t="shared" ca="1" si="36"/>
        <v>5.2299999999999738</v>
      </c>
      <c r="D127" s="306">
        <f t="shared" ca="1" si="37"/>
        <v>13.577012068789534</v>
      </c>
      <c r="E127" s="307">
        <f t="shared" ca="1" si="38"/>
        <v>83.360770579510188</v>
      </c>
      <c r="F127" s="304">
        <f t="shared" ca="1" si="39"/>
        <v>84.45918143296079</v>
      </c>
      <c r="G127" s="306">
        <f t="shared" ca="1" si="40"/>
        <v>36.048402620173313</v>
      </c>
      <c r="H127" s="307">
        <f t="shared" ca="1" si="41"/>
        <v>247.28014738351459</v>
      </c>
      <c r="I127" s="304">
        <f t="shared" ca="1" si="42"/>
        <v>249.89389472629941</v>
      </c>
      <c r="J127" s="306">
        <f t="shared" ca="1" si="43"/>
        <v>76.352791429700162</v>
      </c>
      <c r="K127" s="307">
        <f t="shared" ca="1" si="44"/>
        <v>590.62270159359264</v>
      </c>
      <c r="L127" s="304">
        <f t="shared" ca="1" si="29"/>
        <v>595.5375088076496</v>
      </c>
      <c r="M127" s="306">
        <f t="shared" ca="1" si="45"/>
        <v>1.4260364368037304</v>
      </c>
      <c r="N127" s="304">
        <f t="shared" ca="1" si="46"/>
        <v>81.705869260728093</v>
      </c>
      <c r="P127" s="310">
        <f t="shared" ca="1" si="47"/>
        <v>4</v>
      </c>
      <c r="Q127" s="304">
        <f t="shared" ca="1" si="48"/>
        <v>703.00000000000421</v>
      </c>
      <c r="R127" s="306">
        <f t="shared" ca="1" si="49"/>
        <v>0.35280294602039686</v>
      </c>
      <c r="S127" s="307">
        <f t="shared" ca="1" si="50"/>
        <v>6.2068400948323186</v>
      </c>
      <c r="T127" s="304">
        <f t="shared" ca="1" si="30"/>
        <v>60.889101330305046</v>
      </c>
      <c r="U127" s="311">
        <f t="shared" ca="1" si="31"/>
        <v>0</v>
      </c>
      <c r="V127" s="306">
        <f t="shared" ca="1" si="32"/>
        <v>1.1547240476951528</v>
      </c>
      <c r="W127" s="304">
        <f t="shared" ca="1" si="33"/>
        <v>119.3723011426269</v>
      </c>
      <c r="Y127" s="314" t="str">
        <f t="shared" ca="1" si="51"/>
        <v/>
      </c>
      <c r="Z127" s="315" t="str">
        <f t="shared" ca="1" si="52"/>
        <v/>
      </c>
      <c r="AA127" s="316" t="str">
        <f t="shared" ca="1" si="53"/>
        <v/>
      </c>
      <c r="AC127" s="310" t="e">
        <f t="shared" ca="1" si="54"/>
        <v>#N/A</v>
      </c>
      <c r="AD127" s="323" t="e">
        <f t="shared" ca="1" si="55"/>
        <v>#N/A</v>
      </c>
      <c r="AE127" s="324">
        <f t="shared" ca="1" si="34"/>
        <v>590.62270159359264</v>
      </c>
      <c r="AG127" s="306">
        <f t="shared" ca="1" si="56"/>
        <v>84.447334252016589</v>
      </c>
      <c r="AH127" s="304">
        <f t="shared" ca="1" si="57"/>
        <v>94.154807349894654</v>
      </c>
    </row>
    <row r="128" spans="1:34" x14ac:dyDescent="0.2">
      <c r="A128" s="347">
        <f t="shared" ca="1" si="35"/>
        <v>0.01</v>
      </c>
      <c r="B128" s="304">
        <f t="shared" ca="1" si="36"/>
        <v>5.2399999999999736</v>
      </c>
      <c r="D128" s="306">
        <f t="shared" ca="1" si="37"/>
        <v>13.534737614449988</v>
      </c>
      <c r="E128" s="307">
        <f t="shared" ca="1" si="38"/>
        <v>83.033834090596372</v>
      </c>
      <c r="F128" s="304">
        <f t="shared" ca="1" si="39"/>
        <v>84.129701806655021</v>
      </c>
      <c r="G128" s="306">
        <f t="shared" ca="1" si="40"/>
        <v>36.183749996317815</v>
      </c>
      <c r="H128" s="307">
        <f t="shared" ca="1" si="41"/>
        <v>248.11048572442056</v>
      </c>
      <c r="I128" s="304">
        <f t="shared" ca="1" si="42"/>
        <v>250.73507311543779</v>
      </c>
      <c r="J128" s="306">
        <f t="shared" ca="1" si="43"/>
        <v>76.713952192782614</v>
      </c>
      <c r="K128" s="307">
        <f t="shared" ca="1" si="44"/>
        <v>593.09965475913236</v>
      </c>
      <c r="L128" s="304">
        <f t="shared" ca="1" si="29"/>
        <v>598.0403255102774</v>
      </c>
      <c r="M128" s="306">
        <f t="shared" ca="1" si="45"/>
        <v>1.4259799971554106</v>
      </c>
      <c r="N128" s="304">
        <f t="shared" ca="1" si="46"/>
        <v>81.702635507082164</v>
      </c>
      <c r="P128" s="310">
        <f t="shared" ca="1" si="47"/>
        <v>4</v>
      </c>
      <c r="Q128" s="304">
        <f t="shared" ca="1" si="48"/>
        <v>701.40000000000418</v>
      </c>
      <c r="R128" s="306">
        <f t="shared" ca="1" si="49"/>
        <v>0.35199998056714987</v>
      </c>
      <c r="S128" s="307">
        <f t="shared" ca="1" si="50"/>
        <v>6.2033200950266467</v>
      </c>
      <c r="T128" s="304">
        <f t="shared" ca="1" si="30"/>
        <v>60.854570132211407</v>
      </c>
      <c r="U128" s="311">
        <f t="shared" ca="1" si="31"/>
        <v>0</v>
      </c>
      <c r="V128" s="306">
        <f t="shared" ca="1" si="32"/>
        <v>1.1544378127372363</v>
      </c>
      <c r="W128" s="304">
        <f t="shared" ca="1" si="33"/>
        <v>120.14751227127246</v>
      </c>
      <c r="Y128" s="314" t="str">
        <f t="shared" ca="1" si="51"/>
        <v/>
      </c>
      <c r="Z128" s="315" t="str">
        <f t="shared" ca="1" si="52"/>
        <v/>
      </c>
      <c r="AA128" s="316" t="str">
        <f t="shared" ca="1" si="53"/>
        <v/>
      </c>
      <c r="AC128" s="310" t="e">
        <f t="shared" ca="1" si="54"/>
        <v>#N/A</v>
      </c>
      <c r="AD128" s="323" t="e">
        <f t="shared" ca="1" si="55"/>
        <v>#N/A</v>
      </c>
      <c r="AE128" s="324">
        <f t="shared" ca="1" si="34"/>
        <v>593.09965475913236</v>
      </c>
      <c r="AG128" s="306">
        <f t="shared" ca="1" si="56"/>
        <v>84.117798978835239</v>
      </c>
      <c r="AH128" s="304">
        <f t="shared" ca="1" si="57"/>
        <v>93.8251919845315</v>
      </c>
    </row>
    <row r="129" spans="1:34" x14ac:dyDescent="0.2">
      <c r="A129" s="347">
        <f t="shared" ca="1" si="35"/>
        <v>0.01</v>
      </c>
      <c r="B129" s="304">
        <f t="shared" ca="1" si="36"/>
        <v>5.2499999999999734</v>
      </c>
      <c r="D129" s="306">
        <f t="shared" ca="1" si="37"/>
        <v>13.492360652911954</v>
      </c>
      <c r="E129" s="307">
        <f t="shared" ca="1" si="38"/>
        <v>82.706562144711569</v>
      </c>
      <c r="F129" s="304">
        <f t="shared" ca="1" si="39"/>
        <v>83.799876001013772</v>
      </c>
      <c r="G129" s="306">
        <f t="shared" ca="1" si="40"/>
        <v>36.318673602846935</v>
      </c>
      <c r="H129" s="307">
        <f t="shared" ca="1" si="41"/>
        <v>248.93755134586766</v>
      </c>
      <c r="I129" s="304">
        <f t="shared" ca="1" si="42"/>
        <v>251.57295268439856</v>
      </c>
      <c r="J129" s="306">
        <f t="shared" ca="1" si="43"/>
        <v>77.076464310778434</v>
      </c>
      <c r="K129" s="307">
        <f t="shared" ca="1" si="44"/>
        <v>595.58489494448384</v>
      </c>
      <c r="L129" s="304">
        <f t="shared" ca="1" si="29"/>
        <v>600.55153686980316</v>
      </c>
      <c r="M129" s="306">
        <f t="shared" ca="1" si="45"/>
        <v>1.425923723704736</v>
      </c>
      <c r="N129" s="304">
        <f t="shared" ca="1" si="46"/>
        <v>81.699411275859873</v>
      </c>
      <c r="P129" s="310">
        <f t="shared" ca="1" si="47"/>
        <v>4</v>
      </c>
      <c r="Q129" s="304">
        <f t="shared" ca="1" si="48"/>
        <v>699.80000000000427</v>
      </c>
      <c r="R129" s="306">
        <f t="shared" ca="1" si="49"/>
        <v>0.35119701511390294</v>
      </c>
      <c r="S129" s="307">
        <f t="shared" ca="1" si="50"/>
        <v>6.1998081248755073</v>
      </c>
      <c r="T129" s="304">
        <f t="shared" ca="1" si="30"/>
        <v>60.820117705028728</v>
      </c>
      <c r="U129" s="311">
        <f t="shared" ca="1" si="31"/>
        <v>0</v>
      </c>
      <c r="V129" s="306">
        <f t="shared" ca="1" si="32"/>
        <v>1.1541506893318594</v>
      </c>
      <c r="W129" s="304">
        <f t="shared" ca="1" si="33"/>
        <v>120.92176381589243</v>
      </c>
      <c r="Y129" s="314" t="str">
        <f t="shared" ca="1" si="51"/>
        <v/>
      </c>
      <c r="Z129" s="315" t="str">
        <f t="shared" ca="1" si="52"/>
        <v/>
      </c>
      <c r="AA129" s="316" t="str">
        <f t="shared" ca="1" si="53"/>
        <v/>
      </c>
      <c r="AC129" s="310" t="e">
        <f t="shared" ca="1" si="54"/>
        <v>#N/A</v>
      </c>
      <c r="AD129" s="323" t="e">
        <f t="shared" ca="1" si="55"/>
        <v>#N/A</v>
      </c>
      <c r="AE129" s="324">
        <f t="shared" ca="1" si="34"/>
        <v>595.58489494448384</v>
      </c>
      <c r="AG129" s="306">
        <f t="shared" ca="1" si="56"/>
        <v>83.787917063259016</v>
      </c>
      <c r="AH129" s="304">
        <f t="shared" ca="1" si="57"/>
        <v>93.495230183493987</v>
      </c>
    </row>
    <row r="130" spans="1:34" x14ac:dyDescent="0.2">
      <c r="A130" s="347">
        <f t="shared" ca="1" si="35"/>
        <v>0.01</v>
      </c>
      <c r="B130" s="304">
        <f t="shared" ca="1" si="36"/>
        <v>5.2599999999999731</v>
      </c>
      <c r="D130" s="306">
        <f t="shared" ca="1" si="37"/>
        <v>13.449882400428045</v>
      </c>
      <c r="E130" s="307">
        <f t="shared" ca="1" si="38"/>
        <v>82.378961173680707</v>
      </c>
      <c r="F130" s="304">
        <f t="shared" ca="1" si="39"/>
        <v>83.46971055802301</v>
      </c>
      <c r="G130" s="306">
        <f t="shared" ca="1" si="40"/>
        <v>36.453172426851218</v>
      </c>
      <c r="H130" s="307">
        <f t="shared" ca="1" si="41"/>
        <v>249.76134095760446</v>
      </c>
      <c r="I130" s="304">
        <f t="shared" ca="1" si="42"/>
        <v>252.40753003213374</v>
      </c>
      <c r="J130" s="306">
        <f t="shared" ca="1" si="43"/>
        <v>77.440323540926926</v>
      </c>
      <c r="K130" s="307">
        <f t="shared" ca="1" si="44"/>
        <v>598.07838940600118</v>
      </c>
      <c r="L130" s="304">
        <f t="shared" ca="1" si="29"/>
        <v>603.07110989053342</v>
      </c>
      <c r="M130" s="306">
        <f t="shared" ca="1" si="45"/>
        <v>1.425867614678354</v>
      </c>
      <c r="N130" s="304">
        <f t="shared" ca="1" si="46"/>
        <v>81.6961964654556</v>
      </c>
      <c r="P130" s="310">
        <f t="shared" ca="1" si="47"/>
        <v>4</v>
      </c>
      <c r="Q130" s="304">
        <f t="shared" ca="1" si="48"/>
        <v>698.20000000000425</v>
      </c>
      <c r="R130" s="306">
        <f t="shared" ca="1" si="49"/>
        <v>0.3503940496606559</v>
      </c>
      <c r="S130" s="307">
        <f t="shared" ca="1" si="50"/>
        <v>6.1963041843789011</v>
      </c>
      <c r="T130" s="304">
        <f t="shared" ca="1" si="30"/>
        <v>60.785744048757024</v>
      </c>
      <c r="U130" s="311">
        <f t="shared" ca="1" si="31"/>
        <v>0</v>
      </c>
      <c r="V130" s="306">
        <f t="shared" ca="1" si="32"/>
        <v>1.1538626819287021</v>
      </c>
      <c r="W130" s="304">
        <f t="shared" ca="1" si="33"/>
        <v>121.69501977991015</v>
      </c>
      <c r="Y130" s="314" t="str">
        <f t="shared" ca="1" si="51"/>
        <v/>
      </c>
      <c r="Z130" s="315" t="str">
        <f t="shared" ca="1" si="52"/>
        <v/>
      </c>
      <c r="AA130" s="316" t="str">
        <f t="shared" ca="1" si="53"/>
        <v/>
      </c>
      <c r="AC130" s="310" t="e">
        <f t="shared" ca="1" si="54"/>
        <v>#N/A</v>
      </c>
      <c r="AD130" s="323" t="e">
        <f t="shared" ca="1" si="55"/>
        <v>#N/A</v>
      </c>
      <c r="AE130" s="324">
        <f t="shared" ca="1" si="34"/>
        <v>598.07838940600118</v>
      </c>
      <c r="AG130" s="306">
        <f t="shared" ca="1" si="56"/>
        <v>83.457695041762193</v>
      </c>
      <c r="AH130" s="304">
        <f t="shared" ca="1" si="57"/>
        <v>93.164928480988777</v>
      </c>
    </row>
    <row r="131" spans="1:34" x14ac:dyDescent="0.2">
      <c r="A131" s="347">
        <f t="shared" ca="1" si="35"/>
        <v>0.01</v>
      </c>
      <c r="B131" s="304">
        <f t="shared" ca="1" si="36"/>
        <v>5.2699999999999729</v>
      </c>
      <c r="D131" s="306">
        <f t="shared" ca="1" si="37"/>
        <v>13.407304068598075</v>
      </c>
      <c r="E131" s="307">
        <f t="shared" ca="1" si="38"/>
        <v>82.051037596080917</v>
      </c>
      <c r="F131" s="304">
        <f t="shared" ca="1" si="39"/>
        <v>83.139212006016336</v>
      </c>
      <c r="G131" s="306">
        <f t="shared" ca="1" si="40"/>
        <v>36.587245467537201</v>
      </c>
      <c r="H131" s="307">
        <f t="shared" ca="1" si="41"/>
        <v>250.58185133356528</v>
      </c>
      <c r="I131" s="304">
        <f t="shared" ca="1" si="42"/>
        <v>253.23880182282264</v>
      </c>
      <c r="J131" s="306">
        <f t="shared" ca="1" si="43"/>
        <v>77.805525630398861</v>
      </c>
      <c r="K131" s="307">
        <f t="shared" ca="1" si="44"/>
        <v>600.58010536745701</v>
      </c>
      <c r="L131" s="304">
        <f t="shared" ca="1" si="29"/>
        <v>605.59901154295858</v>
      </c>
      <c r="M131" s="306">
        <f t="shared" ca="1" si="45"/>
        <v>1.4258116683254594</v>
      </c>
      <c r="N131" s="304">
        <f t="shared" ca="1" si="46"/>
        <v>81.692990975555588</v>
      </c>
      <c r="P131" s="310">
        <f t="shared" ca="1" si="47"/>
        <v>4</v>
      </c>
      <c r="Q131" s="304">
        <f t="shared" ca="1" si="48"/>
        <v>696.60000000000434</v>
      </c>
      <c r="R131" s="306">
        <f t="shared" ca="1" si="49"/>
        <v>0.34959108420740898</v>
      </c>
      <c r="S131" s="307">
        <f t="shared" ca="1" si="50"/>
        <v>6.1928082735368273</v>
      </c>
      <c r="T131" s="304">
        <f t="shared" ca="1" si="30"/>
        <v>60.751449163396281</v>
      </c>
      <c r="U131" s="311">
        <f t="shared" ca="1" si="31"/>
        <v>0</v>
      </c>
      <c r="V131" s="306">
        <f t="shared" ca="1" si="32"/>
        <v>1.1535737949793512</v>
      </c>
      <c r="W131" s="304">
        <f t="shared" ca="1" si="33"/>
        <v>122.46724436109031</v>
      </c>
      <c r="Y131" s="314" t="str">
        <f t="shared" ca="1" si="51"/>
        <v/>
      </c>
      <c r="Z131" s="315" t="str">
        <f t="shared" ca="1" si="52"/>
        <v/>
      </c>
      <c r="AA131" s="316" t="str">
        <f t="shared" ca="1" si="53"/>
        <v/>
      </c>
      <c r="AC131" s="310" t="e">
        <f t="shared" ca="1" si="54"/>
        <v>#N/A</v>
      </c>
      <c r="AD131" s="323" t="e">
        <f t="shared" ca="1" si="55"/>
        <v>#N/A</v>
      </c>
      <c r="AE131" s="324">
        <f t="shared" ca="1" si="34"/>
        <v>600.58010536745701</v>
      </c>
      <c r="AG131" s="306">
        <f t="shared" ca="1" si="56"/>
        <v>83.12713943708664</v>
      </c>
      <c r="AH131" s="304">
        <f t="shared" ca="1" si="57"/>
        <v>92.834293397517911</v>
      </c>
    </row>
    <row r="132" spans="1:34" x14ac:dyDescent="0.2">
      <c r="A132" s="347">
        <f t="shared" ca="1" si="35"/>
        <v>0.01</v>
      </c>
      <c r="B132" s="304">
        <f t="shared" ca="1" si="36"/>
        <v>5.2799999999999727</v>
      </c>
      <c r="D132" s="306">
        <f t="shared" ca="1" si="37"/>
        <v>13.364626864373115</v>
      </c>
      <c r="E132" s="307">
        <f t="shared" ca="1" si="38"/>
        <v>81.722797816887493</v>
      </c>
      <c r="F132" s="304">
        <f t="shared" ca="1" si="39"/>
        <v>82.808386859326006</v>
      </c>
      <c r="G132" s="306">
        <f t="shared" ca="1" si="40"/>
        <v>36.720891736180931</v>
      </c>
      <c r="H132" s="307">
        <f t="shared" ca="1" si="41"/>
        <v>251.39907931173417</v>
      </c>
      <c r="I132" s="304">
        <f t="shared" ca="1" si="42"/>
        <v>254.06676478573092</v>
      </c>
      <c r="J132" s="306">
        <f t="shared" ca="1" si="43"/>
        <v>78.172066316417457</v>
      </c>
      <c r="K132" s="307">
        <f t="shared" ca="1" si="44"/>
        <v>603.09001002068351</v>
      </c>
      <c r="L132" s="304">
        <f t="shared" ref="L132:L195" ca="1" si="58">SQRT(pos_x^2+pos_z^2)</f>
        <v>608.13520876440509</v>
      </c>
      <c r="M132" s="306">
        <f t="shared" ca="1" si="45"/>
        <v>1.4257558829173926</v>
      </c>
      <c r="N132" s="304">
        <f t="shared" ca="1" si="46"/>
        <v>81.689794707114942</v>
      </c>
      <c r="P132" s="310">
        <f t="shared" ca="1" si="47"/>
        <v>4</v>
      </c>
      <c r="Q132" s="304">
        <f t="shared" ca="1" si="48"/>
        <v>695.00000000000432</v>
      </c>
      <c r="R132" s="306">
        <f t="shared" ca="1" si="49"/>
        <v>0.34878811875416199</v>
      </c>
      <c r="S132" s="307">
        <f t="shared" ca="1" si="50"/>
        <v>6.1893203923492859</v>
      </c>
      <c r="T132" s="304">
        <f t="shared" ref="T132:T195" ca="1" si="59">m*g</f>
        <v>60.717233048946497</v>
      </c>
      <c r="U132" s="311">
        <f t="shared" ref="U132:U195" ca="1" si="60">IF(pos_xz&lt;L_rampe,Poids*COS(Beta),0)</f>
        <v>0</v>
      </c>
      <c r="V132" s="306">
        <f t="shared" ref="V132:V195" ca="1" si="61">Rho_moyen*(20000-Alt_rampe-pos_z)/(20000+Alt_rampe+pos_z)</f>
        <v>1.1532840329371941</v>
      </c>
      <c r="W132" s="304">
        <f t="shared" ref="W132:W195" ca="1" si="62">1/2*Rho*Sref*Cx*vit_xz^2</f>
        <v>123.23840195292314</v>
      </c>
      <c r="Y132" s="314" t="str">
        <f t="shared" ca="1" si="51"/>
        <v/>
      </c>
      <c r="Z132" s="315" t="str">
        <f t="shared" ca="1" si="52"/>
        <v/>
      </c>
      <c r="AA132" s="316" t="str">
        <f t="shared" ca="1" si="53"/>
        <v/>
      </c>
      <c r="AC132" s="310" t="e">
        <f t="shared" ca="1" si="54"/>
        <v>#N/A</v>
      </c>
      <c r="AD132" s="323" t="e">
        <f t="shared" ca="1" si="55"/>
        <v>#N/A</v>
      </c>
      <c r="AE132" s="324">
        <f t="shared" ref="AE132:AE195" ca="1" si="63">IF(t&lt;T_para, pos_z, NA())</f>
        <v>603.09001002068351</v>
      </c>
      <c r="AG132" s="306">
        <f t="shared" ca="1" si="56"/>
        <v>82.796256757891314</v>
      </c>
      <c r="AH132" s="304">
        <f t="shared" ca="1" si="57"/>
        <v>92.50333143952777</v>
      </c>
    </row>
    <row r="133" spans="1:34" x14ac:dyDescent="0.2">
      <c r="A133" s="347">
        <f t="shared" ref="A133:A196" ca="1" si="64">IF(B132+0.01&lt;=T_ini+ROUNDUP(Temps_fin_propu,0), 0.01, IF(K132&gt;0, 0.1, 0.0001))</f>
        <v>0.01</v>
      </c>
      <c r="B133" s="304">
        <f t="shared" ref="B133:B196" ca="1" si="65">B132+pas</f>
        <v>5.2899999999999725</v>
      </c>
      <c r="D133" s="306">
        <f t="shared" ref="D133:D196" ca="1" si="66">IF(AND(L132&lt;L_rampe,Poussee&lt;Poids*SIN(M132)),0,(-W132+Poussee)/m*COS(M132)-U132/m*SIN(M132))</f>
        <v>13.321851990058752</v>
      </c>
      <c r="E133" s="307">
        <f t="shared" ref="E133:E196" ca="1" si="67">IF(AND(L132&lt;L_rampe,Poussee&lt;Poids*SIN(M132)),0,(-W132+Poussee)/m*SIN(M132)+U132/m*COS(M132)-Poids/m)</f>
        <v>81.394248227123271</v>
      </c>
      <c r="F133" s="304">
        <f t="shared" ref="F133:F196" ca="1" si="68">SQRT(acc_x^2+acc_z^2)</f>
        <v>82.477241617937196</v>
      </c>
      <c r="G133" s="306">
        <f t="shared" ref="G133:G196" ca="1" si="69">G132+acc_x*pas</f>
        <v>36.854110256081519</v>
      </c>
      <c r="H133" s="307">
        <f t="shared" ref="H133:H196" ca="1" si="70">H132+acc_z*pas</f>
        <v>252.21302179400541</v>
      </c>
      <c r="I133" s="304">
        <f t="shared" ref="I133:I196" ca="1" si="71">SQRT(vit_x^2+vit_z^2)</f>
        <v>254.89141571506653</v>
      </c>
      <c r="J133" s="306">
        <f t="shared" ref="J133:J196" ca="1" si="72">J132+0.5*(vit_x+G132)*pas*(K132&gt;=0)</f>
        <v>78.539941326378766</v>
      </c>
      <c r="K133" s="307">
        <f t="shared" ref="K133:K196" ca="1" si="73">K132+0.5*(vit_z+H132)*pas</f>
        <v>605.60807052621226</v>
      </c>
      <c r="L133" s="304">
        <f t="shared" ca="1" si="58"/>
        <v>610.67966845968658</v>
      </c>
      <c r="M133" s="306">
        <f t="shared" ref="M133:M196" ca="1" si="74">IF(AND(L132&gt;L_rampe,G133&gt;0),ATAN2(G133,H133),$M$4)</f>
        <v>1.4257002567472481</v>
      </c>
      <c r="N133" s="304">
        <f t="shared" ref="N133:N196" ca="1" si="75">DEGREES(Beta)</f>
        <v>81.686607562335183</v>
      </c>
      <c r="P133" s="310">
        <f t="shared" ref="P133:P196" ca="1" si="76">MATCH(t-pas/2-T_ini,CdP_t)</f>
        <v>4</v>
      </c>
      <c r="Q133" s="304">
        <f t="shared" ref="Q133:Q196" ca="1" si="77">(INDEX(CdP,2,i_P+1)-INDEX(CdP,2,i_P+0))/(INDEX(CdP,1,i_P+1)-INDEX(CdP,1,i_P+0))*(t-pas/2-T_ini-INDEX(CdP,1,i_P+0))+INDEX(CdP,2,i_P+0)</f>
        <v>693.40000000000441</v>
      </c>
      <c r="R133" s="306">
        <f t="shared" ref="R133:R196" ca="1" si="78">Poussee/(g*ISP)</f>
        <v>0.34798515330091506</v>
      </c>
      <c r="S133" s="307">
        <f t="shared" ref="S133:S196" ca="1" si="79">S132-Débit*pas</f>
        <v>6.1858405408162769</v>
      </c>
      <c r="T133" s="304">
        <f t="shared" ca="1" si="59"/>
        <v>60.68309570540768</v>
      </c>
      <c r="U133" s="311">
        <f t="shared" ca="1" si="60"/>
        <v>0</v>
      </c>
      <c r="V133" s="306">
        <f t="shared" ca="1" si="61"/>
        <v>1.1529934002573052</v>
      </c>
      <c r="W133" s="304">
        <f t="shared" ca="1" si="62"/>
        <v>124.00845714598341</v>
      </c>
      <c r="Y133" s="314" t="str">
        <f t="shared" ref="Y133:Y196" ca="1" si="80">IF(AND(pos_z&lt;=0,K132&gt;0),"Impact balistique","") &amp; IF(AND(H134&lt;0,vit_z&gt;=0),"Apogée","") &amp; IF(AND(Poussee=0,Q132&gt;0),"Fin de propulsion","") &amp; IF(AND(L134&gt;L_rampe,pos_xz&lt;=L_rampe),"Sortie de rampe","")</f>
        <v/>
      </c>
      <c r="Z133" s="315" t="str">
        <f t="shared" ref="Z133:Z196" ca="1" si="81">IF(ABS(t-T_para)&lt;pas/2,"Para","")</f>
        <v/>
      </c>
      <c r="AA133" s="316" t="str">
        <f t="shared" ref="AA133:AA196" ca="1" si="82">IF(ABS(t-T_satellite)&lt;pas/2,"Satellite","")</f>
        <v/>
      </c>
      <c r="AC133" s="310" t="e">
        <f t="shared" ref="AC133:AC196" ca="1" si="83">IF(ABS(t-ROUND(t,0))&lt;0.001,t,NA())</f>
        <v>#N/A</v>
      </c>
      <c r="AD133" s="323" t="e">
        <f t="shared" ref="AD133:AD196" ca="1" si="84">IF(ABS(t-ROUND(t,0))&lt;0.001,pos_x,NA())</f>
        <v>#N/A</v>
      </c>
      <c r="AE133" s="324">
        <f t="shared" ca="1" si="63"/>
        <v>605.60807052621226</v>
      </c>
      <c r="AG133" s="306">
        <f t="shared" ref="AG133:AG196" ca="1" si="85">IF(AND(L132&lt;L_rampe,Poussee&lt;Poids*SIN(M132)),0,(-W132+Poussee)/m-Poids*SIN(M132)/m)</f>
        <v>82.465053498404743</v>
      </c>
      <c r="AH133" s="304">
        <f t="shared" ref="AH133:AH196" ca="1" si="86">IF(AND(L132&lt;L_rampe,Poussee&lt;Poids*SIN(M132)), g*SIN(M132), (-W132+Poussee)/m)</f>
        <v>92.172049099061212</v>
      </c>
    </row>
    <row r="134" spans="1:34" x14ac:dyDescent="0.2">
      <c r="A134" s="347">
        <f t="shared" ca="1" si="64"/>
        <v>0.01</v>
      </c>
      <c r="B134" s="304">
        <f t="shared" ca="1" si="65"/>
        <v>5.2999999999999723</v>
      </c>
      <c r="D134" s="306">
        <f t="shared" ca="1" si="66"/>
        <v>13.27898064331738</v>
      </c>
      <c r="E134" s="307">
        <f t="shared" ca="1" si="67"/>
        <v>81.065395203511144</v>
      </c>
      <c r="F134" s="304">
        <f t="shared" ca="1" si="68"/>
        <v>82.14578276714542</v>
      </c>
      <c r="G134" s="306">
        <f t="shared" ca="1" si="69"/>
        <v>36.986900062514692</v>
      </c>
      <c r="H134" s="307">
        <f t="shared" ca="1" si="70"/>
        <v>253.02367574604054</v>
      </c>
      <c r="I134" s="304">
        <f t="shared" ca="1" si="71"/>
        <v>255.71275146983172</v>
      </c>
      <c r="J134" s="306">
        <f t="shared" ca="1" si="72"/>
        <v>78.909146377971751</v>
      </c>
      <c r="K134" s="307">
        <f t="shared" ca="1" si="73"/>
        <v>608.13425401391248</v>
      </c>
      <c r="L134" s="304">
        <f t="shared" ca="1" si="58"/>
        <v>613.2323575017532</v>
      </c>
      <c r="M134" s="306">
        <f t="shared" ca="1" si="74"/>
        <v>1.4256447881294914</v>
      </c>
      <c r="N134" s="304">
        <f t="shared" ca="1" si="75"/>
        <v>81.6834294446423</v>
      </c>
      <c r="P134" s="310">
        <f t="shared" ca="1" si="76"/>
        <v>4</v>
      </c>
      <c r="Q134" s="304">
        <f t="shared" ca="1" si="77"/>
        <v>691.80000000000439</v>
      </c>
      <c r="R134" s="306">
        <f t="shared" ca="1" si="78"/>
        <v>0.34718218784766802</v>
      </c>
      <c r="S134" s="307">
        <f t="shared" ca="1" si="79"/>
        <v>6.1823687189378003</v>
      </c>
      <c r="T134" s="304">
        <f t="shared" ca="1" si="59"/>
        <v>60.649037132779824</v>
      </c>
      <c r="U134" s="311">
        <f t="shared" ca="1" si="60"/>
        <v>0</v>
      </c>
      <c r="V134" s="306">
        <f t="shared" ca="1" si="61"/>
        <v>1.1527019013963438</v>
      </c>
      <c r="W134" s="304">
        <f t="shared" ca="1" si="62"/>
        <v>124.77737472926539</v>
      </c>
      <c r="Y134" s="314" t="str">
        <f t="shared" ca="1" si="80"/>
        <v/>
      </c>
      <c r="Z134" s="315" t="str">
        <f t="shared" ca="1" si="81"/>
        <v/>
      </c>
      <c r="AA134" s="316" t="str">
        <f t="shared" ca="1" si="82"/>
        <v/>
      </c>
      <c r="AC134" s="310" t="e">
        <f t="shared" ca="1" si="83"/>
        <v>#N/A</v>
      </c>
      <c r="AD134" s="323" t="e">
        <f t="shared" ca="1" si="84"/>
        <v>#N/A</v>
      </c>
      <c r="AE134" s="324">
        <f t="shared" ca="1" si="63"/>
        <v>608.13425401391248</v>
      </c>
      <c r="AG134" s="306">
        <f t="shared" ca="1" si="85"/>
        <v>82.133536138080871</v>
      </c>
      <c r="AH134" s="304">
        <f t="shared" ca="1" si="86"/>
        <v>91.840452853412771</v>
      </c>
    </row>
    <row r="135" spans="1:34" x14ac:dyDescent="0.2">
      <c r="A135" s="347">
        <f t="shared" ca="1" si="64"/>
        <v>0.01</v>
      </c>
      <c r="B135" s="304">
        <f t="shared" ca="1" si="65"/>
        <v>5.3099999999999721</v>
      </c>
      <c r="D135" s="306">
        <f t="shared" ca="1" si="66"/>
        <v>13.236014017169548</v>
      </c>
      <c r="E135" s="307">
        <f t="shared" ca="1" si="67"/>
        <v>80.736245108129779</v>
      </c>
      <c r="F135" s="304">
        <f t="shared" ca="1" si="68"/>
        <v>81.814016777216835</v>
      </c>
      <c r="G135" s="306">
        <f t="shared" ca="1" si="69"/>
        <v>37.119260202686391</v>
      </c>
      <c r="H135" s="307">
        <f t="shared" ca="1" si="70"/>
        <v>253.83103819712184</v>
      </c>
      <c r="I135" s="304">
        <f t="shared" ca="1" si="71"/>
        <v>256.53076897367197</v>
      </c>
      <c r="J135" s="306">
        <f t="shared" ca="1" si="72"/>
        <v>79.279677179297764</v>
      </c>
      <c r="K135" s="307">
        <f t="shared" ca="1" si="73"/>
        <v>610.66852758362825</v>
      </c>
      <c r="L135" s="304">
        <f t="shared" ca="1" si="58"/>
        <v>615.79324273233965</v>
      </c>
      <c r="M135" s="306">
        <f t="shared" ca="1" si="74"/>
        <v>1.4255894753995826</v>
      </c>
      <c r="N135" s="304">
        <f t="shared" ca="1" si="75"/>
        <v>81.680260258665186</v>
      </c>
      <c r="P135" s="310">
        <f t="shared" ca="1" si="76"/>
        <v>4</v>
      </c>
      <c r="Q135" s="304">
        <f t="shared" ca="1" si="77"/>
        <v>690.20000000000448</v>
      </c>
      <c r="R135" s="306">
        <f t="shared" ca="1" si="78"/>
        <v>0.34637922239442109</v>
      </c>
      <c r="S135" s="307">
        <f t="shared" ca="1" si="79"/>
        <v>6.178904926713856</v>
      </c>
      <c r="T135" s="304">
        <f t="shared" ca="1" si="59"/>
        <v>60.615057331062928</v>
      </c>
      <c r="U135" s="311">
        <f t="shared" ca="1" si="60"/>
        <v>0</v>
      </c>
      <c r="V135" s="306">
        <f t="shared" ca="1" si="61"/>
        <v>1.15240954081244</v>
      </c>
      <c r="W135" s="304">
        <f t="shared" ca="1" si="62"/>
        <v>125.54511969149212</v>
      </c>
      <c r="Y135" s="314" t="str">
        <f t="shared" ca="1" si="80"/>
        <v/>
      </c>
      <c r="Z135" s="315" t="str">
        <f t="shared" ca="1" si="81"/>
        <v/>
      </c>
      <c r="AA135" s="316" t="str">
        <f t="shared" ca="1" si="82"/>
        <v/>
      </c>
      <c r="AC135" s="310" t="e">
        <f t="shared" ca="1" si="83"/>
        <v>#N/A</v>
      </c>
      <c r="AD135" s="323" t="e">
        <f t="shared" ca="1" si="84"/>
        <v>#N/A</v>
      </c>
      <c r="AE135" s="324">
        <f t="shared" ca="1" si="63"/>
        <v>610.66852758362825</v>
      </c>
      <c r="AG135" s="306">
        <f t="shared" ca="1" si="85"/>
        <v>81.801711141257641</v>
      </c>
      <c r="AH135" s="304">
        <f t="shared" ca="1" si="86"/>
        <v>91.508549164786928</v>
      </c>
    </row>
    <row r="136" spans="1:34" x14ac:dyDescent="0.2">
      <c r="A136" s="347">
        <f t="shared" ca="1" si="64"/>
        <v>0.01</v>
      </c>
      <c r="B136" s="304">
        <f t="shared" ca="1" si="65"/>
        <v>5.3199999999999719</v>
      </c>
      <c r="D136" s="306">
        <f t="shared" ca="1" si="66"/>
        <v>13.192953299994725</v>
      </c>
      <c r="E136" s="307">
        <f t="shared" ca="1" si="67"/>
        <v>80.406804288072706</v>
      </c>
      <c r="F136" s="304">
        <f t="shared" ca="1" si="68"/>
        <v>81.481950103052085</v>
      </c>
      <c r="G136" s="306">
        <f t="shared" ca="1" si="69"/>
        <v>37.251189735686339</v>
      </c>
      <c r="H136" s="307">
        <f t="shared" ca="1" si="70"/>
        <v>254.63510624000256</v>
      </c>
      <c r="I136" s="304">
        <f t="shared" ca="1" si="71"/>
        <v>257.34546521472163</v>
      </c>
      <c r="J136" s="306">
        <f t="shared" ca="1" si="72"/>
        <v>79.651529428989633</v>
      </c>
      <c r="K136" s="307">
        <f t="shared" ca="1" si="73"/>
        <v>613.21085830581387</v>
      </c>
      <c r="L136" s="304">
        <f t="shared" ca="1" si="58"/>
        <v>618.36229096261206</v>
      </c>
      <c r="M136" s="306">
        <f t="shared" ca="1" si="74"/>
        <v>1.4255343169136112</v>
      </c>
      <c r="N136" s="304">
        <f t="shared" ca="1" si="75"/>
        <v>81.677099910214693</v>
      </c>
      <c r="P136" s="310">
        <f t="shared" ca="1" si="76"/>
        <v>4</v>
      </c>
      <c r="Q136" s="304">
        <f t="shared" ca="1" si="77"/>
        <v>688.60000000000446</v>
      </c>
      <c r="R136" s="306">
        <f t="shared" ca="1" si="78"/>
        <v>0.34557625694117411</v>
      </c>
      <c r="S136" s="307">
        <f t="shared" ca="1" si="79"/>
        <v>6.1754491641444442</v>
      </c>
      <c r="T136" s="304">
        <f t="shared" ca="1" si="59"/>
        <v>60.581156300257</v>
      </c>
      <c r="U136" s="311">
        <f t="shared" ca="1" si="60"/>
        <v>0</v>
      </c>
      <c r="V136" s="306">
        <f t="shared" ca="1" si="61"/>
        <v>1.1521163229650908</v>
      </c>
      <c r="W136" s="304">
        <f t="shared" ca="1" si="62"/>
        <v>126.31165722240097</v>
      </c>
      <c r="Y136" s="314" t="str">
        <f t="shared" ca="1" si="80"/>
        <v/>
      </c>
      <c r="Z136" s="315" t="str">
        <f t="shared" ca="1" si="81"/>
        <v/>
      </c>
      <c r="AA136" s="316" t="str">
        <f t="shared" ca="1" si="82"/>
        <v/>
      </c>
      <c r="AC136" s="310" t="e">
        <f t="shared" ca="1" si="83"/>
        <v>#N/A</v>
      </c>
      <c r="AD136" s="323" t="e">
        <f t="shared" ca="1" si="84"/>
        <v>#N/A</v>
      </c>
      <c r="AE136" s="324">
        <f t="shared" ca="1" si="63"/>
        <v>613.21085830581387</v>
      </c>
      <c r="AG136" s="306">
        <f t="shared" ca="1" si="85"/>
        <v>81.469584956819006</v>
      </c>
      <c r="AH136" s="304">
        <f t="shared" ca="1" si="86"/>
        <v>91.176344479959582</v>
      </c>
    </row>
    <row r="137" spans="1:34" x14ac:dyDescent="0.2">
      <c r="A137" s="347">
        <f t="shared" ca="1" si="64"/>
        <v>0.01</v>
      </c>
      <c r="B137" s="304">
        <f t="shared" ca="1" si="65"/>
        <v>5.3299999999999716</v>
      </c>
      <c r="D137" s="306">
        <f t="shared" ca="1" si="66"/>
        <v>13.149799675531005</v>
      </c>
      <c r="E137" s="307">
        <f t="shared" ca="1" si="67"/>
        <v>80.077079075110632</v>
      </c>
      <c r="F137" s="304">
        <f t="shared" ca="1" si="68"/>
        <v>81.149589183853024</v>
      </c>
      <c r="G137" s="306">
        <f t="shared" ca="1" si="69"/>
        <v>37.382687732441646</v>
      </c>
      <c r="H137" s="307">
        <f t="shared" ca="1" si="70"/>
        <v>255.43587703075366</v>
      </c>
      <c r="I137" s="304">
        <f t="shared" ca="1" si="71"/>
        <v>258.15683724544573</v>
      </c>
      <c r="J137" s="306">
        <f t="shared" ca="1" si="72"/>
        <v>80.024698816330272</v>
      </c>
      <c r="K137" s="307">
        <f t="shared" ca="1" si="73"/>
        <v>615.76121322216761</v>
      </c>
      <c r="L137" s="304">
        <f t="shared" ca="1" si="58"/>
        <v>620.93946897381238</v>
      </c>
      <c r="M137" s="306">
        <f t="shared" ca="1" si="74"/>
        <v>1.4254793110479356</v>
      </c>
      <c r="N137" s="304">
        <f t="shared" ca="1" si="75"/>
        <v>81.673948306263014</v>
      </c>
      <c r="P137" s="310">
        <f t="shared" ca="1" si="76"/>
        <v>4</v>
      </c>
      <c r="Q137" s="304">
        <f t="shared" ca="1" si="77"/>
        <v>687.00000000000455</v>
      </c>
      <c r="R137" s="306">
        <f t="shared" ca="1" si="78"/>
        <v>0.34477329148792718</v>
      </c>
      <c r="S137" s="307">
        <f t="shared" ca="1" si="79"/>
        <v>6.1720014312295648</v>
      </c>
      <c r="T137" s="304">
        <f t="shared" ca="1" si="59"/>
        <v>60.547334040362031</v>
      </c>
      <c r="U137" s="311">
        <f t="shared" ca="1" si="60"/>
        <v>0</v>
      </c>
      <c r="V137" s="306">
        <f t="shared" ca="1" si="61"/>
        <v>1.1518222523150519</v>
      </c>
      <c r="W137" s="304">
        <f t="shared" ca="1" si="62"/>
        <v>127.07695271400355</v>
      </c>
      <c r="Y137" s="314" t="str">
        <f t="shared" ca="1" si="80"/>
        <v/>
      </c>
      <c r="Z137" s="315" t="str">
        <f t="shared" ca="1" si="81"/>
        <v/>
      </c>
      <c r="AA137" s="316" t="str">
        <f t="shared" ca="1" si="82"/>
        <v/>
      </c>
      <c r="AC137" s="310" t="e">
        <f t="shared" ca="1" si="83"/>
        <v>#N/A</v>
      </c>
      <c r="AD137" s="323" t="e">
        <f t="shared" ca="1" si="84"/>
        <v>#N/A</v>
      </c>
      <c r="AE137" s="324">
        <f t="shared" ca="1" si="63"/>
        <v>615.76121322216761</v>
      </c>
      <c r="AG137" s="306">
        <f t="shared" ca="1" si="85"/>
        <v>81.137164017860016</v>
      </c>
      <c r="AH137" s="304">
        <f t="shared" ca="1" si="86"/>
        <v>90.84384522994273</v>
      </c>
    </row>
    <row r="138" spans="1:34" x14ac:dyDescent="0.2">
      <c r="A138" s="347">
        <f t="shared" ca="1" si="64"/>
        <v>0.01</v>
      </c>
      <c r="B138" s="304">
        <f t="shared" ca="1" si="65"/>
        <v>5.3399999999999714</v>
      </c>
      <c r="D138" s="306">
        <f t="shared" ca="1" si="66"/>
        <v>13.106554322874295</v>
      </c>
      <c r="E138" s="307">
        <f t="shared" ca="1" si="67"/>
        <v>79.747075785357026</v>
      </c>
      <c r="F138" s="304">
        <f t="shared" ca="1" si="68"/>
        <v>80.816940442792884</v>
      </c>
      <c r="G138" s="306">
        <f t="shared" ca="1" si="69"/>
        <v>37.513753275670389</v>
      </c>
      <c r="H138" s="307">
        <f t="shared" ca="1" si="70"/>
        <v>256.2333477886072</v>
      </c>
      <c r="I138" s="304">
        <f t="shared" ca="1" si="71"/>
        <v>258.96488218247896</v>
      </c>
      <c r="J138" s="306">
        <f t="shared" ca="1" si="72"/>
        <v>80.399181021370836</v>
      </c>
      <c r="K138" s="307">
        <f t="shared" ca="1" si="73"/>
        <v>618.31955934626444</v>
      </c>
      <c r="L138" s="304">
        <f t="shared" ca="1" si="58"/>
        <v>623.52474351790227</v>
      </c>
      <c r="M138" s="306">
        <f t="shared" ca="1" si="74"/>
        <v>1.4254244561988316</v>
      </c>
      <c r="N138" s="304">
        <f t="shared" ca="1" si="75"/>
        <v>81.67080535492353</v>
      </c>
      <c r="P138" s="310">
        <f t="shared" ca="1" si="76"/>
        <v>4</v>
      </c>
      <c r="Q138" s="304">
        <f t="shared" ca="1" si="77"/>
        <v>685.40000000000452</v>
      </c>
      <c r="R138" s="306">
        <f t="shared" ca="1" si="78"/>
        <v>0.34397032603468014</v>
      </c>
      <c r="S138" s="307">
        <f t="shared" ca="1" si="79"/>
        <v>6.1685617279692178</v>
      </c>
      <c r="T138" s="304">
        <f t="shared" ca="1" si="59"/>
        <v>60.51359055137803</v>
      </c>
      <c r="U138" s="311">
        <f t="shared" ca="1" si="60"/>
        <v>0</v>
      </c>
      <c r="V138" s="306">
        <f t="shared" ca="1" si="61"/>
        <v>1.1515273333242304</v>
      </c>
      <c r="W138" s="304">
        <f t="shared" ca="1" si="62"/>
        <v>127.84097176182155</v>
      </c>
      <c r="Y138" s="314" t="str">
        <f t="shared" ca="1" si="80"/>
        <v/>
      </c>
      <c r="Z138" s="315" t="str">
        <f t="shared" ca="1" si="81"/>
        <v/>
      </c>
      <c r="AA138" s="316" t="str">
        <f t="shared" ca="1" si="82"/>
        <v/>
      </c>
      <c r="AC138" s="310" t="e">
        <f t="shared" ca="1" si="83"/>
        <v>#N/A</v>
      </c>
      <c r="AD138" s="323" t="e">
        <f t="shared" ca="1" si="84"/>
        <v>#N/A</v>
      </c>
      <c r="AE138" s="324">
        <f t="shared" ca="1" si="63"/>
        <v>618.31955934626444</v>
      </c>
      <c r="AG138" s="306">
        <f t="shared" ca="1" si="85"/>
        <v>80.804454741354917</v>
      </c>
      <c r="AH138" s="304">
        <f t="shared" ca="1" si="86"/>
        <v>90.51105782965216</v>
      </c>
    </row>
    <row r="139" spans="1:34" x14ac:dyDescent="0.2">
      <c r="A139" s="347">
        <f t="shared" ca="1" si="64"/>
        <v>0.01</v>
      </c>
      <c r="B139" s="304">
        <f t="shared" ca="1" si="65"/>
        <v>5.3499999999999712</v>
      </c>
      <c r="D139" s="306">
        <f t="shared" ca="1" si="66"/>
        <v>13.063218416476726</v>
      </c>
      <c r="E139" s="307">
        <f t="shared" ca="1" si="67"/>
        <v>79.416800718937196</v>
      </c>
      <c r="F139" s="304">
        <f t="shared" ca="1" si="68"/>
        <v>80.484010286689625</v>
      </c>
      <c r="G139" s="306">
        <f t="shared" ca="1" si="69"/>
        <v>37.644385459835156</v>
      </c>
      <c r="H139" s="307">
        <f t="shared" ca="1" si="70"/>
        <v>257.0275157957966</v>
      </c>
      <c r="I139" s="304">
        <f t="shared" ca="1" si="71"/>
        <v>259.76959720646124</v>
      </c>
      <c r="J139" s="306">
        <f t="shared" ca="1" si="72"/>
        <v>80.774971715048366</v>
      </c>
      <c r="K139" s="307">
        <f t="shared" ca="1" si="73"/>
        <v>620.88586366418645</v>
      </c>
      <c r="L139" s="304">
        <f t="shared" ca="1" si="58"/>
        <v>626.11808131820442</v>
      </c>
      <c r="M139" s="306">
        <f t="shared" ca="1" si="74"/>
        <v>1.4253697507821501</v>
      </c>
      <c r="N139" s="304">
        <f t="shared" ca="1" si="75"/>
        <v>81.667670965431171</v>
      </c>
      <c r="P139" s="310">
        <f t="shared" ca="1" si="76"/>
        <v>4</v>
      </c>
      <c r="Q139" s="304">
        <f t="shared" ca="1" si="77"/>
        <v>683.80000000000462</v>
      </c>
      <c r="R139" s="306">
        <f t="shared" ca="1" si="78"/>
        <v>0.34316736058143321</v>
      </c>
      <c r="S139" s="307">
        <f t="shared" ca="1" si="79"/>
        <v>6.1651300543634031</v>
      </c>
      <c r="T139" s="304">
        <f t="shared" ca="1" si="59"/>
        <v>60.479925833304989</v>
      </c>
      <c r="U139" s="311">
        <f t="shared" ca="1" si="60"/>
        <v>0</v>
      </c>
      <c r="V139" s="306">
        <f t="shared" ca="1" si="61"/>
        <v>1.1512315704555791</v>
      </c>
      <c r="W139" s="304">
        <f t="shared" ca="1" si="62"/>
        <v>128.60368016609758</v>
      </c>
      <c r="Y139" s="314" t="str">
        <f t="shared" ca="1" si="80"/>
        <v/>
      </c>
      <c r="Z139" s="315" t="str">
        <f t="shared" ca="1" si="81"/>
        <v/>
      </c>
      <c r="AA139" s="316" t="str">
        <f t="shared" ca="1" si="82"/>
        <v/>
      </c>
      <c r="AC139" s="310" t="e">
        <f t="shared" ca="1" si="83"/>
        <v>#N/A</v>
      </c>
      <c r="AD139" s="323" t="e">
        <f t="shared" ca="1" si="84"/>
        <v>#N/A</v>
      </c>
      <c r="AE139" s="324">
        <f t="shared" ca="1" si="63"/>
        <v>620.88586366418645</v>
      </c>
      <c r="AG139" s="306">
        <f t="shared" ca="1" si="85"/>
        <v>80.471463527828845</v>
      </c>
      <c r="AH139" s="304">
        <f t="shared" ca="1" si="86"/>
        <v>90.177988677578682</v>
      </c>
    </row>
    <row r="140" spans="1:34" x14ac:dyDescent="0.2">
      <c r="A140" s="347">
        <f t="shared" ca="1" si="64"/>
        <v>0.01</v>
      </c>
      <c r="B140" s="304">
        <f t="shared" ca="1" si="65"/>
        <v>5.359999999999971</v>
      </c>
      <c r="D140" s="306">
        <f t="shared" ca="1" si="66"/>
        <v>13.019793126144238</v>
      </c>
      <c r="E140" s="307">
        <f t="shared" ca="1" si="67"/>
        <v>79.086260159660398</v>
      </c>
      <c r="F140" s="304">
        <f t="shared" ca="1" si="68"/>
        <v>80.15080510568238</v>
      </c>
      <c r="G140" s="306">
        <f t="shared" ca="1" si="69"/>
        <v>37.774583391096598</v>
      </c>
      <c r="H140" s="307">
        <f t="shared" ca="1" si="70"/>
        <v>257.81837839739319</v>
      </c>
      <c r="I140" s="304">
        <f t="shared" ca="1" si="71"/>
        <v>260.57097956186971</v>
      </c>
      <c r="J140" s="306">
        <f t="shared" ca="1" si="72"/>
        <v>81.152066559303023</v>
      </c>
      <c r="K140" s="307">
        <f t="shared" ca="1" si="73"/>
        <v>623.46009313515242</v>
      </c>
      <c r="L140" s="304">
        <f t="shared" ca="1" si="58"/>
        <v>628.71944907004308</v>
      </c>
      <c r="M140" s="306">
        <f t="shared" ca="1" si="74"/>
        <v>1.4253151932329786</v>
      </c>
      <c r="N140" s="304">
        <f t="shared" ca="1" si="75"/>
        <v>81.664545048123074</v>
      </c>
      <c r="P140" s="310">
        <f t="shared" ca="1" si="76"/>
        <v>4</v>
      </c>
      <c r="Q140" s="304">
        <f t="shared" ca="1" si="77"/>
        <v>682.20000000000459</v>
      </c>
      <c r="R140" s="306">
        <f t="shared" ca="1" si="78"/>
        <v>0.34236439512818623</v>
      </c>
      <c r="S140" s="307">
        <f t="shared" ca="1" si="79"/>
        <v>6.1617064104121209</v>
      </c>
      <c r="T140" s="304">
        <f t="shared" ca="1" si="59"/>
        <v>60.446339886142908</v>
      </c>
      <c r="U140" s="311">
        <f t="shared" ca="1" si="60"/>
        <v>0</v>
      </c>
      <c r="V140" s="306">
        <f t="shared" ca="1" si="61"/>
        <v>1.1509349681729903</v>
      </c>
      <c r="W140" s="304">
        <f t="shared" ca="1" si="62"/>
        <v>129.36504393298125</v>
      </c>
      <c r="Y140" s="314" t="str">
        <f t="shared" ca="1" si="80"/>
        <v/>
      </c>
      <c r="Z140" s="315" t="str">
        <f t="shared" ca="1" si="81"/>
        <v/>
      </c>
      <c r="AA140" s="316" t="str">
        <f t="shared" ca="1" si="82"/>
        <v/>
      </c>
      <c r="AC140" s="310" t="e">
        <f t="shared" ca="1" si="83"/>
        <v>#N/A</v>
      </c>
      <c r="AD140" s="323" t="e">
        <f t="shared" ca="1" si="84"/>
        <v>#N/A</v>
      </c>
      <c r="AE140" s="324">
        <f t="shared" ca="1" si="63"/>
        <v>623.46009313515242</v>
      </c>
      <c r="AG140" s="306">
        <f t="shared" ca="1" si="85"/>
        <v>80.138196761032233</v>
      </c>
      <c r="AH140" s="304">
        <f t="shared" ca="1" si="86"/>
        <v>89.844644155462149</v>
      </c>
    </row>
    <row r="141" spans="1:34" x14ac:dyDescent="0.2">
      <c r="A141" s="347">
        <f t="shared" ca="1" si="64"/>
        <v>0.01</v>
      </c>
      <c r="B141" s="304">
        <f t="shared" ca="1" si="65"/>
        <v>5.3699999999999708</v>
      </c>
      <c r="D141" s="306">
        <f t="shared" ca="1" si="66"/>
        <v>12.9762796170338</v>
      </c>
      <c r="E141" s="307">
        <f t="shared" ca="1" si="67"/>
        <v>78.755460374695616</v>
      </c>
      <c r="F141" s="304">
        <f t="shared" ca="1" si="68"/>
        <v>79.817331272911503</v>
      </c>
      <c r="G141" s="306">
        <f t="shared" ca="1" si="69"/>
        <v>37.904346187266938</v>
      </c>
      <c r="H141" s="307">
        <f t="shared" ca="1" si="70"/>
        <v>258.60593300114016</v>
      </c>
      <c r="I141" s="304">
        <f t="shared" ca="1" si="71"/>
        <v>261.3690265568481</v>
      </c>
      <c r="J141" s="306">
        <f t="shared" ca="1" si="72"/>
        <v>81.530461207194847</v>
      </c>
      <c r="K141" s="307">
        <f t="shared" ca="1" si="73"/>
        <v>626.04221469214508</v>
      </c>
      <c r="L141" s="304">
        <f t="shared" ca="1" si="58"/>
        <v>631.32881344138241</v>
      </c>
      <c r="M141" s="306">
        <f t="shared" ca="1" si="74"/>
        <v>1.4252607820053129</v>
      </c>
      <c r="N141" s="304">
        <f t="shared" ca="1" si="75"/>
        <v>81.661427514419699</v>
      </c>
      <c r="P141" s="310">
        <f t="shared" ca="1" si="76"/>
        <v>4</v>
      </c>
      <c r="Q141" s="304">
        <f t="shared" ca="1" si="77"/>
        <v>680.60000000000468</v>
      </c>
      <c r="R141" s="306">
        <f t="shared" ca="1" si="78"/>
        <v>0.3415614296749393</v>
      </c>
      <c r="S141" s="307">
        <f t="shared" ca="1" si="79"/>
        <v>6.1582907961153719</v>
      </c>
      <c r="T141" s="304">
        <f t="shared" ca="1" si="59"/>
        <v>60.412832709891802</v>
      </c>
      <c r="U141" s="311">
        <f t="shared" ca="1" si="60"/>
        <v>0</v>
      </c>
      <c r="V141" s="306">
        <f t="shared" ca="1" si="61"/>
        <v>1.15063753094119</v>
      </c>
      <c r="W141" s="304">
        <f t="shared" ca="1" si="62"/>
        <v>130.12502927569093</v>
      </c>
      <c r="Y141" s="314" t="str">
        <f t="shared" ca="1" si="80"/>
        <v/>
      </c>
      <c r="Z141" s="315" t="str">
        <f t="shared" ca="1" si="81"/>
        <v/>
      </c>
      <c r="AA141" s="316" t="str">
        <f t="shared" ca="1" si="82"/>
        <v/>
      </c>
      <c r="AC141" s="310" t="e">
        <f t="shared" ca="1" si="83"/>
        <v>#N/A</v>
      </c>
      <c r="AD141" s="323" t="e">
        <f t="shared" ca="1" si="84"/>
        <v>#N/A</v>
      </c>
      <c r="AE141" s="324">
        <f t="shared" ca="1" si="63"/>
        <v>626.04221469214508</v>
      </c>
      <c r="AG141" s="306">
        <f t="shared" ca="1" si="85"/>
        <v>79.804660807618902</v>
      </c>
      <c r="AH141" s="304">
        <f t="shared" ca="1" si="86"/>
        <v>89.51103062796912</v>
      </c>
    </row>
    <row r="142" spans="1:34" x14ac:dyDescent="0.2">
      <c r="A142" s="347">
        <f t="shared" ca="1" si="64"/>
        <v>0.01</v>
      </c>
      <c r="B142" s="304">
        <f t="shared" ca="1" si="65"/>
        <v>5.3799999999999706</v>
      </c>
      <c r="D142" s="306">
        <f t="shared" ca="1" si="66"/>
        <v>12.932679049649749</v>
      </c>
      <c r="E142" s="307">
        <f t="shared" ca="1" si="67"/>
        <v>78.424407614250441</v>
      </c>
      <c r="F142" s="304">
        <f t="shared" ca="1" si="68"/>
        <v>79.48359514420163</v>
      </c>
      <c r="G142" s="306">
        <f t="shared" ca="1" si="69"/>
        <v>38.033672977763437</v>
      </c>
      <c r="H142" s="307">
        <f t="shared" ca="1" si="70"/>
        <v>259.39017707728266</v>
      </c>
      <c r="I142" s="304">
        <f t="shared" ca="1" si="71"/>
        <v>262.16373556303228</v>
      </c>
      <c r="J142" s="306">
        <f t="shared" ca="1" si="72"/>
        <v>81.910151303020001</v>
      </c>
      <c r="K142" s="307">
        <f t="shared" ca="1" si="73"/>
        <v>628.63219524253725</v>
      </c>
      <c r="L142" s="304">
        <f t="shared" ca="1" si="58"/>
        <v>633.94614107346308</v>
      </c>
      <c r="M142" s="306">
        <f t="shared" ca="1" si="74"/>
        <v>1.4252065155717346</v>
      </c>
      <c r="N142" s="304">
        <f t="shared" ca="1" si="75"/>
        <v>81.65831827680644</v>
      </c>
      <c r="P142" s="310">
        <f t="shared" ca="1" si="76"/>
        <v>4</v>
      </c>
      <c r="Q142" s="304">
        <f t="shared" ca="1" si="77"/>
        <v>679.00000000000466</v>
      </c>
      <c r="R142" s="306">
        <f t="shared" ca="1" si="78"/>
        <v>0.34075846422169226</v>
      </c>
      <c r="S142" s="307">
        <f t="shared" ca="1" si="79"/>
        <v>6.1548832114731553</v>
      </c>
      <c r="T142" s="304">
        <f t="shared" ca="1" si="59"/>
        <v>60.379404304551656</v>
      </c>
      <c r="U142" s="311">
        <f t="shared" ca="1" si="60"/>
        <v>0</v>
      </c>
      <c r="V142" s="306">
        <f t="shared" ca="1" si="61"/>
        <v>1.1503392632256337</v>
      </c>
      <c r="W142" s="304">
        <f t="shared" ca="1" si="62"/>
        <v>130.88360261565052</v>
      </c>
      <c r="Y142" s="314" t="str">
        <f t="shared" ca="1" si="80"/>
        <v/>
      </c>
      <c r="Z142" s="315" t="str">
        <f t="shared" ca="1" si="81"/>
        <v/>
      </c>
      <c r="AA142" s="316" t="str">
        <f t="shared" ca="1" si="82"/>
        <v/>
      </c>
      <c r="AC142" s="310" t="e">
        <f t="shared" ca="1" si="83"/>
        <v>#N/A</v>
      </c>
      <c r="AD142" s="323" t="e">
        <f t="shared" ca="1" si="84"/>
        <v>#N/A</v>
      </c>
      <c r="AE142" s="324">
        <f t="shared" ca="1" si="63"/>
        <v>628.63219524253725</v>
      </c>
      <c r="AG142" s="306">
        <f t="shared" ca="1" si="85"/>
        <v>79.470862016827098</v>
      </c>
      <c r="AH142" s="304">
        <f t="shared" ca="1" si="86"/>
        <v>89.177154442373549</v>
      </c>
    </row>
    <row r="143" spans="1:34" x14ac:dyDescent="0.2">
      <c r="A143" s="347">
        <f t="shared" ca="1" si="64"/>
        <v>0.01</v>
      </c>
      <c r="B143" s="304">
        <f t="shared" ca="1" si="65"/>
        <v>5.3899999999999704</v>
      </c>
      <c r="D143" s="306">
        <f t="shared" ca="1" si="66"/>
        <v>12.888992579839693</v>
      </c>
      <c r="E143" s="307">
        <f t="shared" ca="1" si="67"/>
        <v>78.093108111253557</v>
      </c>
      <c r="F143" s="304">
        <f t="shared" ca="1" si="68"/>
        <v>79.149603057748166</v>
      </c>
      <c r="G143" s="306">
        <f t="shared" ca="1" si="69"/>
        <v>38.162562903561835</v>
      </c>
      <c r="H143" s="307">
        <f t="shared" ca="1" si="70"/>
        <v>260.17110815839521</v>
      </c>
      <c r="I143" s="304">
        <f t="shared" ca="1" si="71"/>
        <v>262.95510401537314</v>
      </c>
      <c r="J143" s="306">
        <f t="shared" ca="1" si="72"/>
        <v>82.291132482426633</v>
      </c>
      <c r="K143" s="307">
        <f t="shared" ca="1" si="73"/>
        <v>631.23000166871566</v>
      </c>
      <c r="L143" s="304">
        <f t="shared" ca="1" si="58"/>
        <v>636.57139858143728</v>
      </c>
      <c r="M143" s="306">
        <f t="shared" ca="1" si="74"/>
        <v>1.4251523924230942</v>
      </c>
      <c r="N143" s="304">
        <f t="shared" ca="1" si="75"/>
        <v>81.655217248815376</v>
      </c>
      <c r="P143" s="310">
        <f t="shared" ca="1" si="76"/>
        <v>4</v>
      </c>
      <c r="Q143" s="304">
        <f t="shared" ca="1" si="77"/>
        <v>677.40000000000475</v>
      </c>
      <c r="R143" s="306">
        <f t="shared" ca="1" si="78"/>
        <v>0.33995549876844533</v>
      </c>
      <c r="S143" s="307">
        <f t="shared" ca="1" si="79"/>
        <v>6.1514836564854711</v>
      </c>
      <c r="T143" s="304">
        <f t="shared" ca="1" si="59"/>
        <v>60.346054670122477</v>
      </c>
      <c r="U143" s="311">
        <f t="shared" ca="1" si="60"/>
        <v>0</v>
      </c>
      <c r="V143" s="306">
        <f t="shared" ca="1" si="61"/>
        <v>1.1500401694924025</v>
      </c>
      <c r="W143" s="304">
        <f t="shared" ca="1" si="62"/>
        <v>131.64073058360194</v>
      </c>
      <c r="Y143" s="314" t="str">
        <f t="shared" ca="1" si="80"/>
        <v/>
      </c>
      <c r="Z143" s="315" t="str">
        <f t="shared" ca="1" si="81"/>
        <v/>
      </c>
      <c r="AA143" s="316" t="str">
        <f t="shared" ca="1" si="82"/>
        <v/>
      </c>
      <c r="AC143" s="310" t="e">
        <f t="shared" ca="1" si="83"/>
        <v>#N/A</v>
      </c>
      <c r="AD143" s="323" t="e">
        <f t="shared" ca="1" si="84"/>
        <v>#N/A</v>
      </c>
      <c r="AE143" s="324">
        <f t="shared" ca="1" si="63"/>
        <v>631.23000166871566</v>
      </c>
      <c r="AG143" s="306">
        <f t="shared" ca="1" si="85"/>
        <v>79.136806720164046</v>
      </c>
      <c r="AH143" s="304">
        <f t="shared" ca="1" si="86"/>
        <v>88.843021928240901</v>
      </c>
    </row>
    <row r="144" spans="1:34" x14ac:dyDescent="0.2">
      <c r="A144" s="347">
        <f t="shared" ca="1" si="64"/>
        <v>0.01</v>
      </c>
      <c r="B144" s="304">
        <f t="shared" ca="1" si="65"/>
        <v>5.3999999999999702</v>
      </c>
      <c r="D144" s="306">
        <f t="shared" ca="1" si="66"/>
        <v>12.845221358789875</v>
      </c>
      <c r="E144" s="307">
        <f t="shared" ca="1" si="67"/>
        <v>77.761568081040338</v>
      </c>
      <c r="F144" s="304">
        <f t="shared" ca="1" si="68"/>
        <v>78.815361333807147</v>
      </c>
      <c r="G144" s="306">
        <f t="shared" ca="1" si="69"/>
        <v>38.291015117149733</v>
      </c>
      <c r="H144" s="307">
        <f t="shared" ca="1" si="70"/>
        <v>260.94872383920563</v>
      </c>
      <c r="I144" s="304">
        <f t="shared" ca="1" si="71"/>
        <v>263.74312941195603</v>
      </c>
      <c r="J144" s="306">
        <f t="shared" ca="1" si="72"/>
        <v>82.673400372530196</v>
      </c>
      <c r="K144" s="307">
        <f t="shared" ca="1" si="73"/>
        <v>633.83560082870372</v>
      </c>
      <c r="L144" s="304">
        <f t="shared" ca="1" si="58"/>
        <v>639.20455255500212</v>
      </c>
      <c r="M144" s="306">
        <f t="shared" ca="1" si="74"/>
        <v>1.4250984110682035</v>
      </c>
      <c r="N144" s="304">
        <f t="shared" ca="1" si="75"/>
        <v>81.652124345007735</v>
      </c>
      <c r="P144" s="310">
        <f t="shared" ca="1" si="76"/>
        <v>4</v>
      </c>
      <c r="Q144" s="304">
        <f t="shared" ca="1" si="77"/>
        <v>675.80000000000473</v>
      </c>
      <c r="R144" s="306">
        <f t="shared" ca="1" si="78"/>
        <v>0.33915253331519835</v>
      </c>
      <c r="S144" s="307">
        <f t="shared" ca="1" si="79"/>
        <v>6.1480921311523193</v>
      </c>
      <c r="T144" s="304">
        <f t="shared" ca="1" si="59"/>
        <v>60.312783806604259</v>
      </c>
      <c r="U144" s="311">
        <f t="shared" ca="1" si="60"/>
        <v>0</v>
      </c>
      <c r="V144" s="306">
        <f t="shared" ca="1" si="61"/>
        <v>1.149740254208095</v>
      </c>
      <c r="W144" s="304">
        <f t="shared" ca="1" si="62"/>
        <v>132.39638002069225</v>
      </c>
      <c r="Y144" s="314" t="str">
        <f t="shared" ca="1" si="80"/>
        <v/>
      </c>
      <c r="Z144" s="315" t="str">
        <f t="shared" ca="1" si="81"/>
        <v/>
      </c>
      <c r="AA144" s="316" t="str">
        <f t="shared" ca="1" si="82"/>
        <v/>
      </c>
      <c r="AC144" s="310" t="e">
        <f t="shared" ca="1" si="83"/>
        <v>#N/A</v>
      </c>
      <c r="AD144" s="323" t="e">
        <f t="shared" ca="1" si="84"/>
        <v>#N/A</v>
      </c>
      <c r="AE144" s="324">
        <f t="shared" ca="1" si="63"/>
        <v>633.83560082870372</v>
      </c>
      <c r="AG144" s="306">
        <f t="shared" ca="1" si="85"/>
        <v>78.802501231093473</v>
      </c>
      <c r="AH144" s="304">
        <f t="shared" ca="1" si="86"/>
        <v>88.508639397115317</v>
      </c>
    </row>
    <row r="145" spans="1:34" x14ac:dyDescent="0.2">
      <c r="A145" s="347">
        <f t="shared" ca="1" si="64"/>
        <v>0.01</v>
      </c>
      <c r="B145" s="304">
        <f t="shared" ca="1" si="65"/>
        <v>5.4099999999999699</v>
      </c>
      <c r="D145" s="306">
        <f t="shared" ca="1" si="66"/>
        <v>12.801366533019875</v>
      </c>
      <c r="E145" s="307">
        <f t="shared" ca="1" si="67"/>
        <v>77.429793721042202</v>
      </c>
      <c r="F145" s="304">
        <f t="shared" ca="1" si="68"/>
        <v>78.48087627438845</v>
      </c>
      <c r="G145" s="306">
        <f t="shared" ca="1" si="69"/>
        <v>38.419028782479934</v>
      </c>
      <c r="H145" s="307">
        <f t="shared" ca="1" si="70"/>
        <v>261.72302177641603</v>
      </c>
      <c r="I145" s="304">
        <f t="shared" ca="1" si="71"/>
        <v>264.52780931381744</v>
      </c>
      <c r="J145" s="306">
        <f t="shared" ca="1" si="72"/>
        <v>83.056950592028343</v>
      </c>
      <c r="K145" s="307">
        <f t="shared" ca="1" si="73"/>
        <v>636.4489595567818</v>
      </c>
      <c r="L145" s="304">
        <f t="shared" ca="1" si="58"/>
        <v>641.84556955903088</v>
      </c>
      <c r="M145" s="306">
        <f t="shared" ca="1" si="74"/>
        <v>1.4250445700335319</v>
      </c>
      <c r="N145" s="304">
        <f t="shared" ca="1" si="75"/>
        <v>81.649039480956446</v>
      </c>
      <c r="P145" s="310">
        <f t="shared" ca="1" si="76"/>
        <v>4</v>
      </c>
      <c r="Q145" s="304">
        <f t="shared" ca="1" si="77"/>
        <v>674.20000000000482</v>
      </c>
      <c r="R145" s="306">
        <f t="shared" ca="1" si="78"/>
        <v>0.33834956786195142</v>
      </c>
      <c r="S145" s="307">
        <f t="shared" ca="1" si="79"/>
        <v>6.1447086354736999</v>
      </c>
      <c r="T145" s="304">
        <f t="shared" ca="1" si="59"/>
        <v>60.279591713997</v>
      </c>
      <c r="U145" s="311">
        <f t="shared" ca="1" si="60"/>
        <v>0</v>
      </c>
      <c r="V145" s="306">
        <f t="shared" ca="1" si="61"/>
        <v>1.14943952183973</v>
      </c>
      <c r="W145" s="304">
        <f t="shared" ca="1" si="62"/>
        <v>133.15051797953791</v>
      </c>
      <c r="Y145" s="314" t="str">
        <f t="shared" ca="1" si="80"/>
        <v/>
      </c>
      <c r="Z145" s="315" t="str">
        <f t="shared" ca="1" si="81"/>
        <v/>
      </c>
      <c r="AA145" s="316" t="str">
        <f t="shared" ca="1" si="82"/>
        <v/>
      </c>
      <c r="AC145" s="310" t="e">
        <f t="shared" ca="1" si="83"/>
        <v>#N/A</v>
      </c>
      <c r="AD145" s="323" t="e">
        <f t="shared" ca="1" si="84"/>
        <v>#N/A</v>
      </c>
      <c r="AE145" s="324">
        <f t="shared" ca="1" si="63"/>
        <v>636.4489595567818</v>
      </c>
      <c r="AG145" s="306">
        <f t="shared" ca="1" si="85"/>
        <v>78.467951844726883</v>
      </c>
      <c r="AH145" s="304">
        <f t="shared" ca="1" si="86"/>
        <v>88.174013142210526</v>
      </c>
    </row>
    <row r="146" spans="1:34" x14ac:dyDescent="0.2">
      <c r="A146" s="347">
        <f t="shared" ca="1" si="64"/>
        <v>0.01</v>
      </c>
      <c r="B146" s="304">
        <f t="shared" ca="1" si="65"/>
        <v>5.4199999999999697</v>
      </c>
      <c r="D146" s="306">
        <f t="shared" ca="1" si="66"/>
        <v>12.757429244376924</v>
      </c>
      <c r="E146" s="307">
        <f t="shared" ca="1" si="67"/>
        <v>77.097791210479002</v>
      </c>
      <c r="F146" s="304">
        <f t="shared" ca="1" si="68"/>
        <v>78.146154162952243</v>
      </c>
      <c r="G146" s="306">
        <f t="shared" ca="1" si="69"/>
        <v>38.546603074923702</v>
      </c>
      <c r="H146" s="307">
        <f t="shared" ca="1" si="70"/>
        <v>262.49399968852083</v>
      </c>
      <c r="I146" s="304">
        <f t="shared" ca="1" si="71"/>
        <v>265.30914134475825</v>
      </c>
      <c r="J146" s="306">
        <f t="shared" ca="1" si="72"/>
        <v>83.441778751315368</v>
      </c>
      <c r="K146" s="307">
        <f t="shared" ca="1" si="73"/>
        <v>639.07004466410649</v>
      </c>
      <c r="L146" s="304">
        <f t="shared" ca="1" si="58"/>
        <v>644.49441613420254</v>
      </c>
      <c r="M146" s="306">
        <f t="shared" ca="1" si="74"/>
        <v>1.4249908678629102</v>
      </c>
      <c r="N146" s="304">
        <f t="shared" ca="1" si="75"/>
        <v>81.645962573229127</v>
      </c>
      <c r="P146" s="310">
        <f t="shared" ca="1" si="76"/>
        <v>4</v>
      </c>
      <c r="Q146" s="304">
        <f t="shared" ca="1" si="77"/>
        <v>672.6000000000048</v>
      </c>
      <c r="R146" s="306">
        <f t="shared" ca="1" si="78"/>
        <v>0.33754660240870443</v>
      </c>
      <c r="S146" s="307">
        <f t="shared" ca="1" si="79"/>
        <v>6.1413331694496129</v>
      </c>
      <c r="T146" s="304">
        <f t="shared" ca="1" si="59"/>
        <v>60.246478392300709</v>
      </c>
      <c r="U146" s="311">
        <f t="shared" ca="1" si="60"/>
        <v>0</v>
      </c>
      <c r="V146" s="306">
        <f t="shared" ca="1" si="61"/>
        <v>1.1491379768546379</v>
      </c>
      <c r="W146" s="304">
        <f t="shared" ca="1" si="62"/>
        <v>133.90311172526239</v>
      </c>
      <c r="Y146" s="314" t="str">
        <f t="shared" ca="1" si="80"/>
        <v/>
      </c>
      <c r="Z146" s="315" t="str">
        <f t="shared" ca="1" si="81"/>
        <v/>
      </c>
      <c r="AA146" s="316" t="str">
        <f t="shared" ca="1" si="82"/>
        <v/>
      </c>
      <c r="AC146" s="310" t="e">
        <f t="shared" ca="1" si="83"/>
        <v>#N/A</v>
      </c>
      <c r="AD146" s="323" t="e">
        <f t="shared" ca="1" si="84"/>
        <v>#N/A</v>
      </c>
      <c r="AE146" s="324">
        <f t="shared" ca="1" si="63"/>
        <v>639.07004466410649</v>
      </c>
      <c r="AG146" s="306">
        <f t="shared" ca="1" si="85"/>
        <v>78.133164837517668</v>
      </c>
      <c r="AH146" s="304">
        <f t="shared" ca="1" si="86"/>
        <v>87.83914943810359</v>
      </c>
    </row>
    <row r="147" spans="1:34" x14ac:dyDescent="0.2">
      <c r="A147" s="347">
        <f t="shared" ca="1" si="64"/>
        <v>0.01</v>
      </c>
      <c r="B147" s="304">
        <f t="shared" ca="1" si="65"/>
        <v>5.4299999999999695</v>
      </c>
      <c r="D147" s="306">
        <f t="shared" ca="1" si="66"/>
        <v>12.713410630029768</v>
      </c>
      <c r="E147" s="307">
        <f t="shared" ca="1" si="67"/>
        <v>76.765566710055154</v>
      </c>
      <c r="F147" s="304">
        <f t="shared" ca="1" si="68"/>
        <v>77.81120126410903</v>
      </c>
      <c r="G147" s="306">
        <f t="shared" ca="1" si="69"/>
        <v>38.673737181223999</v>
      </c>
      <c r="H147" s="307">
        <f t="shared" ca="1" si="70"/>
        <v>263.26165535562137</v>
      </c>
      <c r="I147" s="304">
        <f t="shared" ca="1" si="71"/>
        <v>266.08712319115398</v>
      </c>
      <c r="J147" s="306">
        <f t="shared" ca="1" si="72"/>
        <v>83.827880452596105</v>
      </c>
      <c r="K147" s="307">
        <f t="shared" ca="1" si="73"/>
        <v>641.69882293932721</v>
      </c>
      <c r="L147" s="304">
        <f t="shared" ca="1" si="58"/>
        <v>647.15105879762939</v>
      </c>
      <c r="M147" s="306">
        <f t="shared" ca="1" si="74"/>
        <v>1.4249373031172399</v>
      </c>
      <c r="N147" s="304">
        <f t="shared" ca="1" si="75"/>
        <v>81.642893539371528</v>
      </c>
      <c r="P147" s="310">
        <f t="shared" ca="1" si="76"/>
        <v>4</v>
      </c>
      <c r="Q147" s="304">
        <f t="shared" ca="1" si="77"/>
        <v>671.00000000000489</v>
      </c>
      <c r="R147" s="306">
        <f t="shared" ca="1" si="78"/>
        <v>0.33674363695545745</v>
      </c>
      <c r="S147" s="307">
        <f t="shared" ca="1" si="79"/>
        <v>6.1379657330800583</v>
      </c>
      <c r="T147" s="304">
        <f t="shared" ca="1" si="59"/>
        <v>60.213443841515378</v>
      </c>
      <c r="U147" s="311">
        <f t="shared" ca="1" si="60"/>
        <v>0</v>
      </c>
      <c r="V147" s="306">
        <f t="shared" ca="1" si="61"/>
        <v>1.1488356237203599</v>
      </c>
      <c r="W147" s="304">
        <f t="shared" ca="1" si="62"/>
        <v>134.65412873651064</v>
      </c>
      <c r="Y147" s="314" t="str">
        <f t="shared" ca="1" si="80"/>
        <v/>
      </c>
      <c r="Z147" s="315" t="str">
        <f t="shared" ca="1" si="81"/>
        <v/>
      </c>
      <c r="AA147" s="316" t="str">
        <f t="shared" ca="1" si="82"/>
        <v/>
      </c>
      <c r="AC147" s="310" t="e">
        <f t="shared" ca="1" si="83"/>
        <v>#N/A</v>
      </c>
      <c r="AD147" s="323" t="e">
        <f t="shared" ca="1" si="84"/>
        <v>#N/A</v>
      </c>
      <c r="AE147" s="324">
        <f t="shared" ca="1" si="63"/>
        <v>641.69882293932721</v>
      </c>
      <c r="AG147" s="306">
        <f t="shared" ca="1" si="85"/>
        <v>77.798146466958954</v>
      </c>
      <c r="AH147" s="304">
        <f t="shared" ca="1" si="86"/>
        <v>87.504054540432378</v>
      </c>
    </row>
    <row r="148" spans="1:34" x14ac:dyDescent="0.2">
      <c r="A148" s="347">
        <f t="shared" ca="1" si="64"/>
        <v>0.01</v>
      </c>
      <c r="B148" s="304">
        <f t="shared" ca="1" si="65"/>
        <v>5.4399999999999693</v>
      </c>
      <c r="D148" s="306">
        <f t="shared" ca="1" si="66"/>
        <v>12.669311822462015</v>
      </c>
      <c r="E148" s="307">
        <f t="shared" ca="1" si="67"/>
        <v>76.433126361659092</v>
      </c>
      <c r="F148" s="304">
        <f t="shared" ca="1" si="68"/>
        <v>77.476023823323061</v>
      </c>
      <c r="G148" s="306">
        <f t="shared" ca="1" si="69"/>
        <v>38.800430299448621</v>
      </c>
      <c r="H148" s="307">
        <f t="shared" ca="1" si="70"/>
        <v>264.02598661923798</v>
      </c>
      <c r="I148" s="304">
        <f t="shared" ca="1" si="71"/>
        <v>266.8617526017627</v>
      </c>
      <c r="J148" s="306">
        <f t="shared" ca="1" si="72"/>
        <v>84.215251289999472</v>
      </c>
      <c r="K148" s="307">
        <f t="shared" ca="1" si="73"/>
        <v>644.33526114920153</v>
      </c>
      <c r="L148" s="304">
        <f t="shared" ca="1" si="58"/>
        <v>649.8154640434833</v>
      </c>
      <c r="M148" s="306">
        <f t="shared" ca="1" si="74"/>
        <v>1.4248838743742096</v>
      </c>
      <c r="N148" s="304">
        <f t="shared" ca="1" si="75"/>
        <v>81.639832297891203</v>
      </c>
      <c r="P148" s="310">
        <f t="shared" ca="1" si="76"/>
        <v>4</v>
      </c>
      <c r="Q148" s="304">
        <f t="shared" ca="1" si="77"/>
        <v>669.40000000000487</v>
      </c>
      <c r="R148" s="306">
        <f t="shared" ca="1" si="78"/>
        <v>0.33594067150221046</v>
      </c>
      <c r="S148" s="307">
        <f t="shared" ca="1" si="79"/>
        <v>6.1346063263650361</v>
      </c>
      <c r="T148" s="304">
        <f t="shared" ca="1" si="59"/>
        <v>60.180488061641007</v>
      </c>
      <c r="U148" s="311">
        <f t="shared" ca="1" si="60"/>
        <v>0</v>
      </c>
      <c r="V148" s="306">
        <f t="shared" ca="1" si="61"/>
        <v>1.1485324669045476</v>
      </c>
      <c r="W148" s="304">
        <f t="shared" ca="1" si="62"/>
        <v>135.40353670643964</v>
      </c>
      <c r="Y148" s="314" t="str">
        <f t="shared" ca="1" si="80"/>
        <v/>
      </c>
      <c r="Z148" s="315" t="str">
        <f t="shared" ca="1" si="81"/>
        <v/>
      </c>
      <c r="AA148" s="316" t="str">
        <f t="shared" ca="1" si="82"/>
        <v/>
      </c>
      <c r="AC148" s="310" t="e">
        <f t="shared" ca="1" si="83"/>
        <v>#N/A</v>
      </c>
      <c r="AD148" s="323" t="e">
        <f t="shared" ca="1" si="84"/>
        <v>#N/A</v>
      </c>
      <c r="AE148" s="324">
        <f t="shared" ca="1" si="63"/>
        <v>644.33526114920153</v>
      </c>
      <c r="AG148" s="306">
        <f t="shared" ca="1" si="85"/>
        <v>77.462902971284649</v>
      </c>
      <c r="AH148" s="304">
        <f t="shared" ca="1" si="86"/>
        <v>87.168734685596263</v>
      </c>
    </row>
    <row r="149" spans="1:34" x14ac:dyDescent="0.2">
      <c r="A149" s="347">
        <f t="shared" ca="1" si="64"/>
        <v>0.01</v>
      </c>
      <c r="B149" s="304">
        <f t="shared" ca="1" si="65"/>
        <v>5.4499999999999691</v>
      </c>
      <c r="D149" s="306">
        <f t="shared" ca="1" si="66"/>
        <v>12.625133949465026</v>
      </c>
      <c r="E149" s="307">
        <f t="shared" ca="1" si="67"/>
        <v>76.100476288066005</v>
      </c>
      <c r="F149" s="304">
        <f t="shared" ca="1" si="68"/>
        <v>77.140628066618902</v>
      </c>
      <c r="G149" s="306">
        <f t="shared" ca="1" si="69"/>
        <v>38.926681638943272</v>
      </c>
      <c r="H149" s="307">
        <f t="shared" ca="1" si="70"/>
        <v>264.78699138211863</v>
      </c>
      <c r="I149" s="304">
        <f t="shared" ca="1" si="71"/>
        <v>267.6330273875289</v>
      </c>
      <c r="J149" s="306">
        <f t="shared" ca="1" si="72"/>
        <v>84.603886849691435</v>
      </c>
      <c r="K149" s="307">
        <f t="shared" ca="1" si="73"/>
        <v>646.97932603920833</v>
      </c>
      <c r="L149" s="304">
        <f t="shared" ca="1" si="58"/>
        <v>652.48759834361886</v>
      </c>
      <c r="M149" s="306">
        <f t="shared" ca="1" si="74"/>
        <v>1.4248305802280159</v>
      </c>
      <c r="N149" s="304">
        <f t="shared" ca="1" si="75"/>
        <v>81.636778768241555</v>
      </c>
      <c r="P149" s="310">
        <f t="shared" ca="1" si="76"/>
        <v>4</v>
      </c>
      <c r="Q149" s="304">
        <f t="shared" ca="1" si="77"/>
        <v>667.80000000000496</v>
      </c>
      <c r="R149" s="306">
        <f t="shared" ca="1" si="78"/>
        <v>0.33513770604896354</v>
      </c>
      <c r="S149" s="307">
        <f t="shared" ca="1" si="79"/>
        <v>6.1312549493045463</v>
      </c>
      <c r="T149" s="304">
        <f t="shared" ca="1" si="59"/>
        <v>60.147611052677604</v>
      </c>
      <c r="U149" s="311">
        <f t="shared" ca="1" si="60"/>
        <v>0</v>
      </c>
      <c r="V149" s="306">
        <f t="shared" ca="1" si="61"/>
        <v>1.1482285108748578</v>
      </c>
      <c r="W149" s="304">
        <f t="shared" ca="1" si="62"/>
        <v>136.15130354368259</v>
      </c>
      <c r="Y149" s="314" t="str">
        <f t="shared" ca="1" si="80"/>
        <v/>
      </c>
      <c r="Z149" s="315" t="str">
        <f t="shared" ca="1" si="81"/>
        <v/>
      </c>
      <c r="AA149" s="316" t="str">
        <f t="shared" ca="1" si="82"/>
        <v/>
      </c>
      <c r="AC149" s="310" t="e">
        <f t="shared" ca="1" si="83"/>
        <v>#N/A</v>
      </c>
      <c r="AD149" s="323" t="e">
        <f t="shared" ca="1" si="84"/>
        <v>#N/A</v>
      </c>
      <c r="AE149" s="324">
        <f t="shared" ca="1" si="63"/>
        <v>646.97932603920833</v>
      </c>
      <c r="AG149" s="306">
        <f t="shared" ca="1" si="85"/>
        <v>77.127440569173643</v>
      </c>
      <c r="AH149" s="304">
        <f t="shared" ca="1" si="86"/>
        <v>86.833196090460049</v>
      </c>
    </row>
    <row r="150" spans="1:34" x14ac:dyDescent="0.2">
      <c r="A150" s="347">
        <f t="shared" ca="1" si="64"/>
        <v>0.01</v>
      </c>
      <c r="B150" s="304">
        <f t="shared" ca="1" si="65"/>
        <v>5.4599999999999689</v>
      </c>
      <c r="D150" s="306">
        <f t="shared" ca="1" si="66"/>
        <v>12.580878134130533</v>
      </c>
      <c r="E150" s="307">
        <f t="shared" ca="1" si="67"/>
        <v>75.767622592644315</v>
      </c>
      <c r="F150" s="304">
        <f t="shared" ca="1" si="68"/>
        <v>76.805020200291779</v>
      </c>
      <c r="G150" s="306">
        <f t="shared" ca="1" si="69"/>
        <v>39.052490420284578</v>
      </c>
      <c r="H150" s="307">
        <f t="shared" ca="1" si="70"/>
        <v>265.54466760804507</v>
      </c>
      <c r="I150" s="304">
        <f t="shared" ca="1" si="71"/>
        <v>268.40094542138553</v>
      </c>
      <c r="J150" s="306">
        <f t="shared" ca="1" si="72"/>
        <v>84.99378270998757</v>
      </c>
      <c r="K150" s="307">
        <f t="shared" ca="1" si="73"/>
        <v>649.63098433415917</v>
      </c>
      <c r="L150" s="304">
        <f t="shared" ca="1" si="58"/>
        <v>655.16742814819565</v>
      </c>
      <c r="M150" s="306">
        <f t="shared" ca="1" si="74"/>
        <v>1.4247774192890905</v>
      </c>
      <c r="N150" s="304">
        <f t="shared" ca="1" si="75"/>
        <v>81.63373287080617</v>
      </c>
      <c r="P150" s="310">
        <f t="shared" ca="1" si="76"/>
        <v>4</v>
      </c>
      <c r="Q150" s="304">
        <f t="shared" ca="1" si="77"/>
        <v>666.20000000000493</v>
      </c>
      <c r="R150" s="306">
        <f t="shared" ca="1" si="78"/>
        <v>0.33433474059571655</v>
      </c>
      <c r="S150" s="307">
        <f t="shared" ca="1" si="79"/>
        <v>6.1279116018985889</v>
      </c>
      <c r="T150" s="304">
        <f t="shared" ca="1" si="59"/>
        <v>60.114812814625161</v>
      </c>
      <c r="U150" s="311">
        <f t="shared" ca="1" si="60"/>
        <v>0</v>
      </c>
      <c r="V150" s="306">
        <f t="shared" ca="1" si="61"/>
        <v>1.1479237600988534</v>
      </c>
      <c r="W150" s="304">
        <f t="shared" ca="1" si="62"/>
        <v>136.89739737329106</v>
      </c>
      <c r="Y150" s="314" t="str">
        <f t="shared" ca="1" si="80"/>
        <v/>
      </c>
      <c r="Z150" s="315" t="str">
        <f t="shared" ca="1" si="81"/>
        <v/>
      </c>
      <c r="AA150" s="316" t="str">
        <f t="shared" ca="1" si="82"/>
        <v/>
      </c>
      <c r="AC150" s="310" t="e">
        <f t="shared" ca="1" si="83"/>
        <v>#N/A</v>
      </c>
      <c r="AD150" s="323" t="e">
        <f t="shared" ca="1" si="84"/>
        <v>#N/A</v>
      </c>
      <c r="AE150" s="324">
        <f t="shared" ca="1" si="63"/>
        <v>649.63098433415917</v>
      </c>
      <c r="AG150" s="306">
        <f t="shared" ca="1" si="85"/>
        <v>76.791765459457821</v>
      </c>
      <c r="AH150" s="304">
        <f t="shared" ca="1" si="86"/>
        <v>86.497444952061514</v>
      </c>
    </row>
    <row r="151" spans="1:34" x14ac:dyDescent="0.2">
      <c r="A151" s="347">
        <f t="shared" ca="1" si="64"/>
        <v>0.01</v>
      </c>
      <c r="B151" s="304">
        <f t="shared" ca="1" si="65"/>
        <v>5.4699999999999687</v>
      </c>
      <c r="D151" s="306">
        <f t="shared" ca="1" si="66"/>
        <v>12.536545494842819</v>
      </c>
      <c r="E151" s="307">
        <f t="shared" ca="1" si="67"/>
        <v>75.434571359065572</v>
      </c>
      <c r="F151" s="304">
        <f t="shared" ca="1" si="68"/>
        <v>76.469206410621382</v>
      </c>
      <c r="G151" s="306">
        <f t="shared" ca="1" si="69"/>
        <v>39.177855875233007</v>
      </c>
      <c r="H151" s="307">
        <f t="shared" ca="1" si="70"/>
        <v>266.29901332163575</v>
      </c>
      <c r="I151" s="304">
        <f t="shared" ca="1" si="71"/>
        <v>269.16550463805214</v>
      </c>
      <c r="J151" s="306">
        <f t="shared" ca="1" si="72"/>
        <v>85.384934441465163</v>
      </c>
      <c r="K151" s="307">
        <f t="shared" ca="1" si="73"/>
        <v>652.29020273880758</v>
      </c>
      <c r="L151" s="304">
        <f t="shared" ca="1" si="58"/>
        <v>657.85491988629826</v>
      </c>
      <c r="M151" s="306">
        <f t="shared" ca="1" si="74"/>
        <v>1.4247243901838325</v>
      </c>
      <c r="N151" s="304">
        <f t="shared" ca="1" si="75"/>
        <v>81.630694526883531</v>
      </c>
      <c r="P151" s="310">
        <f t="shared" ca="1" si="76"/>
        <v>4</v>
      </c>
      <c r="Q151" s="304">
        <f t="shared" ca="1" si="77"/>
        <v>664.60000000000502</v>
      </c>
      <c r="R151" s="306">
        <f t="shared" ca="1" si="78"/>
        <v>0.33353177514246957</v>
      </c>
      <c r="S151" s="307">
        <f t="shared" ca="1" si="79"/>
        <v>6.1245762841471638</v>
      </c>
      <c r="T151" s="304">
        <f t="shared" ca="1" si="59"/>
        <v>60.082093347483678</v>
      </c>
      <c r="U151" s="311">
        <f t="shared" ca="1" si="60"/>
        <v>0</v>
      </c>
      <c r="V151" s="306">
        <f t="shared" ca="1" si="61"/>
        <v>1.1476182190439033</v>
      </c>
      <c r="W151" s="304">
        <f t="shared" ca="1" si="62"/>
        <v>137.64178653765117</v>
      </c>
      <c r="Y151" s="314" t="str">
        <f t="shared" ca="1" si="80"/>
        <v/>
      </c>
      <c r="Z151" s="315" t="str">
        <f t="shared" ca="1" si="81"/>
        <v/>
      </c>
      <c r="AA151" s="316" t="str">
        <f t="shared" ca="1" si="82"/>
        <v/>
      </c>
      <c r="AC151" s="310" t="e">
        <f t="shared" ca="1" si="83"/>
        <v>#N/A</v>
      </c>
      <c r="AD151" s="323" t="e">
        <f t="shared" ca="1" si="84"/>
        <v>#N/A</v>
      </c>
      <c r="AE151" s="324">
        <f t="shared" ca="1" si="63"/>
        <v>652.29020273880758</v>
      </c>
      <c r="AG151" s="306">
        <f t="shared" ca="1" si="85"/>
        <v>76.455883820833165</v>
      </c>
      <c r="AH151" s="304">
        <f t="shared" ca="1" si="86"/>
        <v>86.161487447322344</v>
      </c>
    </row>
    <row r="152" spans="1:34" x14ac:dyDescent="0.2">
      <c r="A152" s="347">
        <f t="shared" ca="1" si="64"/>
        <v>0.01</v>
      </c>
      <c r="B152" s="304">
        <f t="shared" ca="1" si="65"/>
        <v>5.4799999999999685</v>
      </c>
      <c r="D152" s="306">
        <f t="shared" ca="1" si="66"/>
        <v>12.49213714527057</v>
      </c>
      <c r="E152" s="307">
        <f t="shared" ca="1" si="67"/>
        <v>75.101328651017482</v>
      </c>
      <c r="F152" s="304">
        <f t="shared" ca="1" si="68"/>
        <v>76.133192863588675</v>
      </c>
      <c r="G152" s="306">
        <f t="shared" ca="1" si="69"/>
        <v>39.302777246685714</v>
      </c>
      <c r="H152" s="307">
        <f t="shared" ca="1" si="70"/>
        <v>267.05002660814591</v>
      </c>
      <c r="I152" s="304">
        <f t="shared" ca="1" si="71"/>
        <v>269.92670303383107</v>
      </c>
      <c r="J152" s="306">
        <f t="shared" ca="1" si="72"/>
        <v>85.777337607074756</v>
      </c>
      <c r="K152" s="307">
        <f t="shared" ca="1" si="73"/>
        <v>654.95694793845644</v>
      </c>
      <c r="L152" s="304">
        <f t="shared" ca="1" si="58"/>
        <v>660.55003996655398</v>
      </c>
      <c r="M152" s="306">
        <f t="shared" ca="1" si="74"/>
        <v>1.4246714915543475</v>
      </c>
      <c r="N152" s="304">
        <f t="shared" ca="1" si="75"/>
        <v>81.62766365867202</v>
      </c>
      <c r="P152" s="310">
        <f t="shared" ca="1" si="76"/>
        <v>4</v>
      </c>
      <c r="Q152" s="304">
        <f t="shared" ca="1" si="77"/>
        <v>663.000000000005</v>
      </c>
      <c r="R152" s="306">
        <f t="shared" ca="1" si="78"/>
        <v>0.33272880968922258</v>
      </c>
      <c r="S152" s="307">
        <f t="shared" ca="1" si="79"/>
        <v>6.1212489960502712</v>
      </c>
      <c r="T152" s="304">
        <f t="shared" ca="1" si="59"/>
        <v>60.049452651253162</v>
      </c>
      <c r="U152" s="311">
        <f t="shared" ca="1" si="60"/>
        <v>0</v>
      </c>
      <c r="V152" s="306">
        <f t="shared" ca="1" si="61"/>
        <v>1.14731189217708</v>
      </c>
      <c r="W152" s="304">
        <f t="shared" ca="1" si="62"/>
        <v>138.38443959737666</v>
      </c>
      <c r="Y152" s="314" t="str">
        <f t="shared" ca="1" si="80"/>
        <v/>
      </c>
      <c r="Z152" s="315" t="str">
        <f t="shared" ca="1" si="81"/>
        <v/>
      </c>
      <c r="AA152" s="316" t="str">
        <f t="shared" ca="1" si="82"/>
        <v/>
      </c>
      <c r="AC152" s="310" t="e">
        <f t="shared" ca="1" si="83"/>
        <v>#N/A</v>
      </c>
      <c r="AD152" s="323" t="e">
        <f t="shared" ca="1" si="84"/>
        <v>#N/A</v>
      </c>
      <c r="AE152" s="324">
        <f t="shared" ca="1" si="63"/>
        <v>654.95694793845644</v>
      </c>
      <c r="AG152" s="306">
        <f t="shared" ca="1" si="85"/>
        <v>76.119801811574263</v>
      </c>
      <c r="AH152" s="304">
        <f t="shared" ca="1" si="86"/>
        <v>85.825329732762171</v>
      </c>
    </row>
    <row r="153" spans="1:34" x14ac:dyDescent="0.2">
      <c r="A153" s="347">
        <f t="shared" ca="1" si="64"/>
        <v>0.01</v>
      </c>
      <c r="B153" s="304">
        <f t="shared" ca="1" si="65"/>
        <v>5.4899999999999682</v>
      </c>
      <c r="D153" s="306">
        <f t="shared" ca="1" si="66"/>
        <v>12.44765419435827</v>
      </c>
      <c r="E153" s="307">
        <f t="shared" ca="1" si="67"/>
        <v>74.767900511920942</v>
      </c>
      <c r="F153" s="304">
        <f t="shared" ca="1" si="68"/>
        <v>75.796985704596679</v>
      </c>
      <c r="G153" s="306">
        <f t="shared" ca="1" si="69"/>
        <v>39.427253788629294</v>
      </c>
      <c r="H153" s="307">
        <f t="shared" ca="1" si="70"/>
        <v>267.79770561326512</v>
      </c>
      <c r="I153" s="304">
        <f t="shared" ca="1" si="71"/>
        <v>270.68453866640033</v>
      </c>
      <c r="J153" s="306">
        <f t="shared" ca="1" si="72"/>
        <v>86.170987762251329</v>
      </c>
      <c r="K153" s="307">
        <f t="shared" ca="1" si="73"/>
        <v>657.63118659956353</v>
      </c>
      <c r="L153" s="304">
        <f t="shared" ca="1" si="58"/>
        <v>663.25275477774835</v>
      </c>
      <c r="M153" s="306">
        <f t="shared" ca="1" si="74"/>
        <v>1.4246187220581896</v>
      </c>
      <c r="N153" s="304">
        <f t="shared" ca="1" si="75"/>
        <v>81.624640189255146</v>
      </c>
      <c r="P153" s="310">
        <f t="shared" ca="1" si="76"/>
        <v>4</v>
      </c>
      <c r="Q153" s="304">
        <f t="shared" ca="1" si="77"/>
        <v>661.40000000000509</v>
      </c>
      <c r="R153" s="306">
        <f t="shared" ca="1" si="78"/>
        <v>0.33192584423597565</v>
      </c>
      <c r="S153" s="307">
        <f t="shared" ca="1" si="79"/>
        <v>6.1179297376079118</v>
      </c>
      <c r="T153" s="304">
        <f t="shared" ca="1" si="59"/>
        <v>60.016890725933621</v>
      </c>
      <c r="U153" s="311">
        <f t="shared" ca="1" si="60"/>
        <v>0</v>
      </c>
      <c r="V153" s="306">
        <f t="shared" ca="1" si="61"/>
        <v>1.1470047839650608</v>
      </c>
      <c r="W153" s="304">
        <f t="shared" ca="1" si="62"/>
        <v>139.12532533217714</v>
      </c>
      <c r="Y153" s="314" t="str">
        <f t="shared" ca="1" si="80"/>
        <v/>
      </c>
      <c r="Z153" s="315" t="str">
        <f t="shared" ca="1" si="81"/>
        <v/>
      </c>
      <c r="AA153" s="316" t="str">
        <f t="shared" ca="1" si="82"/>
        <v/>
      </c>
      <c r="AC153" s="310" t="e">
        <f t="shared" ca="1" si="83"/>
        <v>#N/A</v>
      </c>
      <c r="AD153" s="323" t="e">
        <f t="shared" ca="1" si="84"/>
        <v>#N/A</v>
      </c>
      <c r="AE153" s="324">
        <f t="shared" ca="1" si="63"/>
        <v>657.63118659956353</v>
      </c>
      <c r="AG153" s="306">
        <f t="shared" ca="1" si="85"/>
        <v>75.783525569252362</v>
      </c>
      <c r="AH153" s="304">
        <f t="shared" ca="1" si="86"/>
        <v>85.488977944216415</v>
      </c>
    </row>
    <row r="154" spans="1:34" x14ac:dyDescent="0.2">
      <c r="A154" s="347">
        <f t="shared" ca="1" si="64"/>
        <v>0.01</v>
      </c>
      <c r="B154" s="304">
        <f t="shared" ca="1" si="65"/>
        <v>5.499999999999968</v>
      </c>
      <c r="D154" s="306">
        <f t="shared" ca="1" si="66"/>
        <v>12.403097746317558</v>
      </c>
      <c r="E154" s="307">
        <f t="shared" ca="1" si="67"/>
        <v>74.434292964650211</v>
      </c>
      <c r="F154" s="304">
        <f t="shared" ca="1" si="68"/>
        <v>75.460591058194638</v>
      </c>
      <c r="G154" s="306">
        <f t="shared" ca="1" si="69"/>
        <v>39.551284766092472</v>
      </c>
      <c r="H154" s="307">
        <f t="shared" ca="1" si="70"/>
        <v>268.54204854291163</v>
      </c>
      <c r="I154" s="304">
        <f t="shared" ca="1" si="71"/>
        <v>271.43900965460369</v>
      </c>
      <c r="J154" s="306">
        <f t="shared" ca="1" si="72"/>
        <v>86.565880455024939</v>
      </c>
      <c r="K154" s="307">
        <f t="shared" ca="1" si="73"/>
        <v>660.31288537034447</v>
      </c>
      <c r="L154" s="304">
        <f t="shared" ca="1" si="58"/>
        <v>665.96303068943951</v>
      </c>
      <c r="M154" s="306">
        <f t="shared" ca="1" si="74"/>
        <v>1.4245660803681108</v>
      </c>
      <c r="N154" s="304">
        <f t="shared" ca="1" si="75"/>
        <v>81.621624042587186</v>
      </c>
      <c r="P154" s="310">
        <f t="shared" ca="1" si="76"/>
        <v>4</v>
      </c>
      <c r="Q154" s="304">
        <f t="shared" ca="1" si="77"/>
        <v>659.80000000000507</v>
      </c>
      <c r="R154" s="306">
        <f t="shared" ca="1" si="78"/>
        <v>0.33112287878272867</v>
      </c>
      <c r="S154" s="307">
        <f t="shared" ca="1" si="79"/>
        <v>6.1146185088200848</v>
      </c>
      <c r="T154" s="304">
        <f t="shared" ca="1" si="59"/>
        <v>59.984407571525033</v>
      </c>
      <c r="U154" s="311">
        <f t="shared" ca="1" si="60"/>
        <v>0</v>
      </c>
      <c r="V154" s="306">
        <f t="shared" ca="1" si="61"/>
        <v>1.1466968988740296</v>
      </c>
      <c r="W154" s="304">
        <f t="shared" ca="1" si="62"/>
        <v>139.86441274170284</v>
      </c>
      <c r="Y154" s="314" t="str">
        <f t="shared" ca="1" si="80"/>
        <v/>
      </c>
      <c r="Z154" s="315" t="str">
        <f t="shared" ca="1" si="81"/>
        <v/>
      </c>
      <c r="AA154" s="316" t="str">
        <f t="shared" ca="1" si="82"/>
        <v/>
      </c>
      <c r="AC154" s="310" t="e">
        <f t="shared" ca="1" si="83"/>
        <v>#N/A</v>
      </c>
      <c r="AD154" s="323" t="e">
        <f t="shared" ca="1" si="84"/>
        <v>#N/A</v>
      </c>
      <c r="AE154" s="324">
        <f t="shared" ca="1" si="63"/>
        <v>660.31288537034447</v>
      </c>
      <c r="AG154" s="306">
        <f t="shared" ca="1" si="85"/>
        <v>75.447061210456795</v>
      </c>
      <c r="AH154" s="304">
        <f t="shared" ca="1" si="86"/>
        <v>85.152438196557355</v>
      </c>
    </row>
    <row r="155" spans="1:34" x14ac:dyDescent="0.2">
      <c r="A155" s="347">
        <f t="shared" ca="1" si="64"/>
        <v>0.01</v>
      </c>
      <c r="B155" s="304">
        <f t="shared" ca="1" si="65"/>
        <v>5.5099999999999678</v>
      </c>
      <c r="D155" s="306">
        <f t="shared" ca="1" si="66"/>
        <v>12.360138593228992</v>
      </c>
      <c r="E155" s="307">
        <f t="shared" ca="1" si="67"/>
        <v>74.111848752321691</v>
      </c>
      <c r="F155" s="304">
        <f t="shared" ca="1" si="68"/>
        <v>75.135471992467274</v>
      </c>
      <c r="G155" s="306">
        <f t="shared" ca="1" si="69"/>
        <v>39.674886152024762</v>
      </c>
      <c r="H155" s="307">
        <f t="shared" ca="1" si="70"/>
        <v>269.28316703043487</v>
      </c>
      <c r="I155" s="304">
        <f t="shared" ca="1" si="71"/>
        <v>272.19022876862647</v>
      </c>
      <c r="J155" s="306">
        <f t="shared" ca="1" si="72"/>
        <v>86.962011309615519</v>
      </c>
      <c r="K155" s="307">
        <f t="shared" ca="1" si="73"/>
        <v>663.00201144821119</v>
      </c>
      <c r="L155" s="304">
        <f t="shared" ca="1" si="58"/>
        <v>668.68083462544939</v>
      </c>
      <c r="M155" s="306">
        <f t="shared" ca="1" si="74"/>
        <v>1.4245135651939222</v>
      </c>
      <c r="N155" s="304">
        <f t="shared" ca="1" si="75"/>
        <v>81.618615144745789</v>
      </c>
      <c r="P155" s="310">
        <f t="shared" ca="1" si="76"/>
        <v>5</v>
      </c>
      <c r="Q155" s="304">
        <f t="shared" ca="1" si="77"/>
        <v>658.27000000000464</v>
      </c>
      <c r="R155" s="306">
        <f t="shared" ca="1" si="78"/>
        <v>0.33035504306806102</v>
      </c>
      <c r="S155" s="307">
        <f t="shared" ca="1" si="79"/>
        <v>6.1113149583894044</v>
      </c>
      <c r="T155" s="304">
        <f t="shared" ca="1" si="59"/>
        <v>59.951999741800059</v>
      </c>
      <c r="U155" s="311">
        <f t="shared" ca="1" si="60"/>
        <v>0</v>
      </c>
      <c r="V155" s="306">
        <f t="shared" ca="1" si="61"/>
        <v>1.1463882413045234</v>
      </c>
      <c r="W155" s="304">
        <f t="shared" ca="1" si="62"/>
        <v>140.60178942331368</v>
      </c>
      <c r="Y155" s="314" t="str">
        <f t="shared" ca="1" si="80"/>
        <v/>
      </c>
      <c r="Z155" s="315" t="str">
        <f t="shared" ca="1" si="81"/>
        <v/>
      </c>
      <c r="AA155" s="316" t="str">
        <f t="shared" ca="1" si="82"/>
        <v/>
      </c>
      <c r="AC155" s="310" t="e">
        <f t="shared" ca="1" si="83"/>
        <v>#N/A</v>
      </c>
      <c r="AD155" s="323" t="e">
        <f t="shared" ca="1" si="84"/>
        <v>#N/A</v>
      </c>
      <c r="AE155" s="324">
        <f t="shared" ca="1" si="63"/>
        <v>663.00201144821119</v>
      </c>
      <c r="AG155" s="306">
        <f t="shared" ca="1" si="85"/>
        <v>75.121873869370802</v>
      </c>
      <c r="AH155" s="304">
        <f t="shared" ca="1" si="86"/>
        <v>84.827175622269692</v>
      </c>
    </row>
    <row r="156" spans="1:34" x14ac:dyDescent="0.2">
      <c r="A156" s="347">
        <f t="shared" ca="1" si="64"/>
        <v>0.01</v>
      </c>
      <c r="B156" s="304">
        <f t="shared" ca="1" si="65"/>
        <v>5.5199999999999676</v>
      </c>
      <c r="D156" s="306">
        <f t="shared" ca="1" si="66"/>
        <v>12.318780192945274</v>
      </c>
      <c r="E156" s="307">
        <f t="shared" ca="1" si="67"/>
        <v>73.800577522446218</v>
      </c>
      <c r="F156" s="304">
        <f t="shared" ca="1" si="68"/>
        <v>74.821638501764284</v>
      </c>
      <c r="G156" s="306">
        <f t="shared" ca="1" si="69"/>
        <v>39.798073953954216</v>
      </c>
      <c r="H156" s="307">
        <f t="shared" ca="1" si="70"/>
        <v>270.02117280565932</v>
      </c>
      <c r="I156" s="304">
        <f t="shared" ca="1" si="71"/>
        <v>272.9383088791094</v>
      </c>
      <c r="J156" s="306">
        <f t="shared" ca="1" si="72"/>
        <v>87.359376110145419</v>
      </c>
      <c r="K156" s="307">
        <f t="shared" ca="1" si="73"/>
        <v>665.69853314739169</v>
      </c>
      <c r="L156" s="304">
        <f t="shared" ca="1" si="58"/>
        <v>671.40613463755517</v>
      </c>
      <c r="M156" s="306">
        <f t="shared" ca="1" si="74"/>
        <v>1.4244611752818161</v>
      </c>
      <c r="N156" s="304">
        <f t="shared" ca="1" si="75"/>
        <v>81.615613423893052</v>
      </c>
      <c r="P156" s="310">
        <f t="shared" ca="1" si="76"/>
        <v>5</v>
      </c>
      <c r="Q156" s="304">
        <f t="shared" ca="1" si="77"/>
        <v>656.81000000000472</v>
      </c>
      <c r="R156" s="306">
        <f t="shared" ca="1" si="78"/>
        <v>0.32962233709197319</v>
      </c>
      <c r="S156" s="307">
        <f t="shared" ca="1" si="79"/>
        <v>6.1080187350184847</v>
      </c>
      <c r="T156" s="304">
        <f t="shared" ca="1" si="59"/>
        <v>59.919663790531338</v>
      </c>
      <c r="U156" s="311">
        <f t="shared" ca="1" si="60"/>
        <v>0</v>
      </c>
      <c r="V156" s="306">
        <f t="shared" ca="1" si="61"/>
        <v>1.1460788155263624</v>
      </c>
      <c r="W156" s="304">
        <f t="shared" ca="1" si="62"/>
        <v>141.3375443938493</v>
      </c>
      <c r="Y156" s="314" t="str">
        <f t="shared" ca="1" si="80"/>
        <v/>
      </c>
      <c r="Z156" s="315" t="str">
        <f t="shared" ca="1" si="81"/>
        <v/>
      </c>
      <c r="AA156" s="316" t="str">
        <f t="shared" ca="1" si="82"/>
        <v/>
      </c>
      <c r="AC156" s="310" t="e">
        <f t="shared" ca="1" si="83"/>
        <v>#N/A</v>
      </c>
      <c r="AD156" s="323" t="e">
        <f t="shared" ca="1" si="84"/>
        <v>#N/A</v>
      </c>
      <c r="AE156" s="324">
        <f t="shared" ca="1" si="63"/>
        <v>665.69853314739169</v>
      </c>
      <c r="AG156" s="306">
        <f t="shared" ca="1" si="85"/>
        <v>74.807973591568384</v>
      </c>
      <c r="AH156" s="304">
        <f t="shared" ca="1" si="86"/>
        <v>84.513200265278627</v>
      </c>
    </row>
    <row r="157" spans="1:34" x14ac:dyDescent="0.2">
      <c r="A157" s="347">
        <f t="shared" ca="1" si="64"/>
        <v>0.01</v>
      </c>
      <c r="B157" s="304">
        <f t="shared" ca="1" si="65"/>
        <v>5.5299999999999674</v>
      </c>
      <c r="D157" s="306">
        <f t="shared" ca="1" si="66"/>
        <v>12.277353259745832</v>
      </c>
      <c r="E157" s="307">
        <f t="shared" ca="1" si="67"/>
        <v>73.489139802130339</v>
      </c>
      <c r="F157" s="304">
        <f t="shared" ca="1" si="68"/>
        <v>74.507630964362633</v>
      </c>
      <c r="G157" s="306">
        <f t="shared" ca="1" si="69"/>
        <v>39.920847486551672</v>
      </c>
      <c r="H157" s="307">
        <f t="shared" ca="1" si="70"/>
        <v>270.75606420368064</v>
      </c>
      <c r="I157" s="304">
        <f t="shared" ca="1" si="71"/>
        <v>273.68324823984415</v>
      </c>
      <c r="J157" s="306">
        <f t="shared" ca="1" si="72"/>
        <v>87.757970717347945</v>
      </c>
      <c r="K157" s="307">
        <f t="shared" ca="1" si="73"/>
        <v>668.4024193324384</v>
      </c>
      <c r="L157" s="304">
        <f t="shared" ca="1" si="58"/>
        <v>674.1388993329814</v>
      </c>
      <c r="M157" s="306">
        <f t="shared" ca="1" si="74"/>
        <v>1.4244089093917969</v>
      </c>
      <c r="N157" s="304">
        <f t="shared" ca="1" si="75"/>
        <v>81.612618808982447</v>
      </c>
      <c r="P157" s="310">
        <f t="shared" ca="1" si="76"/>
        <v>5</v>
      </c>
      <c r="Q157" s="304">
        <f t="shared" ca="1" si="77"/>
        <v>655.3500000000048</v>
      </c>
      <c r="R157" s="306">
        <f t="shared" ca="1" si="78"/>
        <v>0.32888963111588532</v>
      </c>
      <c r="S157" s="307">
        <f t="shared" ca="1" si="79"/>
        <v>6.1047298387073257</v>
      </c>
      <c r="T157" s="304">
        <f t="shared" ca="1" si="59"/>
        <v>59.887399717718871</v>
      </c>
      <c r="U157" s="311">
        <f t="shared" ca="1" si="60"/>
        <v>0</v>
      </c>
      <c r="V157" s="306">
        <f t="shared" ca="1" si="61"/>
        <v>1.1457686257437714</v>
      </c>
      <c r="W157" s="304">
        <f t="shared" ca="1" si="62"/>
        <v>142.07164898055947</v>
      </c>
      <c r="Y157" s="314" t="str">
        <f t="shared" ca="1" si="80"/>
        <v/>
      </c>
      <c r="Z157" s="315" t="str">
        <f t="shared" ca="1" si="81"/>
        <v/>
      </c>
      <c r="AA157" s="316" t="str">
        <f t="shared" ca="1" si="82"/>
        <v/>
      </c>
      <c r="AC157" s="310" t="e">
        <f t="shared" ca="1" si="83"/>
        <v>#N/A</v>
      </c>
      <c r="AD157" s="323" t="e">
        <f t="shared" ca="1" si="84"/>
        <v>#N/A</v>
      </c>
      <c r="AE157" s="324">
        <f t="shared" ca="1" si="63"/>
        <v>668.4024193324384</v>
      </c>
      <c r="AG157" s="306">
        <f t="shared" ca="1" si="85"/>
        <v>74.493898692125654</v>
      </c>
      <c r="AH157" s="304">
        <f t="shared" ca="1" si="86"/>
        <v>84.199050439060457</v>
      </c>
    </row>
    <row r="158" spans="1:34" x14ac:dyDescent="0.2">
      <c r="A158" s="347">
        <f t="shared" ca="1" si="64"/>
        <v>0.01</v>
      </c>
      <c r="B158" s="304">
        <f t="shared" ca="1" si="65"/>
        <v>5.5399999999999672</v>
      </c>
      <c r="D158" s="306">
        <f t="shared" ca="1" si="66"/>
        <v>12.235858796205717</v>
      </c>
      <c r="E158" s="307">
        <f t="shared" ca="1" si="67"/>
        <v>73.177541056804742</v>
      </c>
      <c r="F158" s="304">
        <f t="shared" ca="1" si="68"/>
        <v>74.193454937757338</v>
      </c>
      <c r="G158" s="306">
        <f t="shared" ca="1" si="69"/>
        <v>40.043206074513726</v>
      </c>
      <c r="H158" s="307">
        <f t="shared" ca="1" si="70"/>
        <v>271.48783961424868</v>
      </c>
      <c r="I158" s="304">
        <f t="shared" ca="1" si="71"/>
        <v>274.42504516012741</v>
      </c>
      <c r="J158" s="306">
        <f t="shared" ca="1" si="72"/>
        <v>88.15779098515327</v>
      </c>
      <c r="K158" s="307">
        <f t="shared" ca="1" si="73"/>
        <v>671.11363885152809</v>
      </c>
      <c r="L158" s="304">
        <f t="shared" ca="1" si="58"/>
        <v>676.87909730166825</v>
      </c>
      <c r="M158" s="306">
        <f t="shared" ca="1" si="74"/>
        <v>1.4243567662974641</v>
      </c>
      <c r="N158" s="304">
        <f t="shared" ca="1" si="75"/>
        <v>81.609631229746427</v>
      </c>
      <c r="P158" s="310">
        <f t="shared" ca="1" si="76"/>
        <v>5</v>
      </c>
      <c r="Q158" s="304">
        <f t="shared" ca="1" si="77"/>
        <v>653.89000000000476</v>
      </c>
      <c r="R158" s="306">
        <f t="shared" ca="1" si="78"/>
        <v>0.32815692513979744</v>
      </c>
      <c r="S158" s="307">
        <f t="shared" ca="1" si="79"/>
        <v>6.1014482694559273</v>
      </c>
      <c r="T158" s="304">
        <f t="shared" ca="1" si="59"/>
        <v>59.855207523362651</v>
      </c>
      <c r="U158" s="311">
        <f t="shared" ca="1" si="60"/>
        <v>0</v>
      </c>
      <c r="V158" s="306">
        <f t="shared" ca="1" si="61"/>
        <v>1.1454576761604218</v>
      </c>
      <c r="W158" s="304">
        <f t="shared" ca="1" si="62"/>
        <v>142.80407470760906</v>
      </c>
      <c r="Y158" s="314" t="str">
        <f t="shared" ca="1" si="80"/>
        <v/>
      </c>
      <c r="Z158" s="315" t="str">
        <f t="shared" ca="1" si="81"/>
        <v/>
      </c>
      <c r="AA158" s="316" t="str">
        <f t="shared" ca="1" si="82"/>
        <v/>
      </c>
      <c r="AC158" s="310" t="e">
        <f t="shared" ca="1" si="83"/>
        <v>#N/A</v>
      </c>
      <c r="AD158" s="323" t="e">
        <f t="shared" ca="1" si="84"/>
        <v>#N/A</v>
      </c>
      <c r="AE158" s="324">
        <f t="shared" ca="1" si="63"/>
        <v>671.11363885152809</v>
      </c>
      <c r="AG158" s="306">
        <f t="shared" ca="1" si="85"/>
        <v>74.179654721586957</v>
      </c>
      <c r="AH158" s="304">
        <f t="shared" ca="1" si="86"/>
        <v>83.884731692576437</v>
      </c>
    </row>
    <row r="159" spans="1:34" x14ac:dyDescent="0.2">
      <c r="A159" s="347">
        <f t="shared" ca="1" si="64"/>
        <v>0.01</v>
      </c>
      <c r="B159" s="304">
        <f t="shared" ca="1" si="65"/>
        <v>5.549999999999967</v>
      </c>
      <c r="D159" s="306">
        <f t="shared" ca="1" si="66"/>
        <v>12.194297800711608</v>
      </c>
      <c r="E159" s="307">
        <f t="shared" ca="1" si="67"/>
        <v>72.865786733147587</v>
      </c>
      <c r="F159" s="304">
        <f t="shared" ca="1" si="68"/>
        <v>73.879115960418659</v>
      </c>
      <c r="G159" s="306">
        <f t="shared" ca="1" si="69"/>
        <v>40.165149052520846</v>
      </c>
      <c r="H159" s="307">
        <f t="shared" ca="1" si="70"/>
        <v>272.21649748158018</v>
      </c>
      <c r="I159" s="304">
        <f t="shared" ca="1" si="71"/>
        <v>275.16369800457028</v>
      </c>
      <c r="J159" s="306">
        <f t="shared" ca="1" si="72"/>
        <v>88.558832760788448</v>
      </c>
      <c r="K159" s="307">
        <f t="shared" ca="1" si="73"/>
        <v>673.83216053700721</v>
      </c>
      <c r="L159" s="304">
        <f t="shared" ca="1" si="58"/>
        <v>679.62669711682486</v>
      </c>
      <c r="M159" s="306">
        <f t="shared" ca="1" si="74"/>
        <v>1.4243047447858013</v>
      </c>
      <c r="N159" s="304">
        <f t="shared" ca="1" si="75"/>
        <v>81.606650616684263</v>
      </c>
      <c r="P159" s="310">
        <f t="shared" ca="1" si="76"/>
        <v>5</v>
      </c>
      <c r="Q159" s="304">
        <f t="shared" ca="1" si="77"/>
        <v>652.43000000000484</v>
      </c>
      <c r="R159" s="306">
        <f t="shared" ca="1" si="78"/>
        <v>0.32742421916370962</v>
      </c>
      <c r="S159" s="307">
        <f t="shared" ca="1" si="79"/>
        <v>6.0981740272642906</v>
      </c>
      <c r="T159" s="304">
        <f t="shared" ca="1" si="59"/>
        <v>59.823087207462692</v>
      </c>
      <c r="U159" s="311">
        <f t="shared" ca="1" si="60"/>
        <v>0</v>
      </c>
      <c r="V159" s="306">
        <f t="shared" ca="1" si="61"/>
        <v>1.1451459709793452</v>
      </c>
      <c r="W159" s="304">
        <f t="shared" ca="1" si="62"/>
        <v>143.53479329679482</v>
      </c>
      <c r="Y159" s="314" t="str">
        <f t="shared" ca="1" si="80"/>
        <v/>
      </c>
      <c r="Z159" s="315" t="str">
        <f t="shared" ca="1" si="81"/>
        <v/>
      </c>
      <c r="AA159" s="316" t="str">
        <f t="shared" ca="1" si="82"/>
        <v/>
      </c>
      <c r="AC159" s="310" t="e">
        <f t="shared" ca="1" si="83"/>
        <v>#N/A</v>
      </c>
      <c r="AD159" s="323" t="e">
        <f t="shared" ca="1" si="84"/>
        <v>#N/A</v>
      </c>
      <c r="AE159" s="324">
        <f t="shared" ca="1" si="63"/>
        <v>673.83216053700721</v>
      </c>
      <c r="AG159" s="306">
        <f t="shared" ca="1" si="85"/>
        <v>73.86524721136459</v>
      </c>
      <c r="AH159" s="304">
        <f t="shared" ca="1" si="86"/>
        <v>83.570249555672277</v>
      </c>
    </row>
    <row r="160" spans="1:34" x14ac:dyDescent="0.2">
      <c r="A160" s="347">
        <f t="shared" ca="1" si="64"/>
        <v>0.01</v>
      </c>
      <c r="B160" s="304">
        <f t="shared" ca="1" si="65"/>
        <v>5.5599999999999667</v>
      </c>
      <c r="D160" s="306">
        <f t="shared" ca="1" si="66"/>
        <v>12.152671267452366</v>
      </c>
      <c r="E160" s="307">
        <f t="shared" ca="1" si="67"/>
        <v>72.553882258848304</v>
      </c>
      <c r="F160" s="304">
        <f t="shared" ca="1" si="68"/>
        <v>73.564619551558792</v>
      </c>
      <c r="G160" s="306">
        <f t="shared" ca="1" si="69"/>
        <v>40.286675765195369</v>
      </c>
      <c r="H160" s="307">
        <f t="shared" ca="1" si="70"/>
        <v>272.94203630416865</v>
      </c>
      <c r="I160" s="304">
        <f t="shared" ca="1" si="71"/>
        <v>275.89920519290393</v>
      </c>
      <c r="J160" s="306">
        <f t="shared" ca="1" si="72"/>
        <v>88.961091884877035</v>
      </c>
      <c r="K160" s="307">
        <f t="shared" ca="1" si="73"/>
        <v>676.55795320593597</v>
      </c>
      <c r="L160" s="304">
        <f t="shared" ca="1" si="58"/>
        <v>682.38166733548394</v>
      </c>
      <c r="M160" s="306">
        <f t="shared" ca="1" si="74"/>
        <v>1.424252843656965</v>
      </c>
      <c r="N160" s="304">
        <f t="shared" ca="1" si="75"/>
        <v>81.60367690104998</v>
      </c>
      <c r="P160" s="310">
        <f t="shared" ca="1" si="76"/>
        <v>5</v>
      </c>
      <c r="Q160" s="304">
        <f t="shared" ca="1" si="77"/>
        <v>650.9700000000048</v>
      </c>
      <c r="R160" s="306">
        <f t="shared" ca="1" si="78"/>
        <v>0.32669151318762168</v>
      </c>
      <c r="S160" s="307">
        <f t="shared" ca="1" si="79"/>
        <v>6.0949071121324145</v>
      </c>
      <c r="T160" s="304">
        <f t="shared" ca="1" si="59"/>
        <v>59.791038770018993</v>
      </c>
      <c r="U160" s="311">
        <f t="shared" ca="1" si="60"/>
        <v>0</v>
      </c>
      <c r="V160" s="306">
        <f t="shared" ca="1" si="61"/>
        <v>1.1448335144028396</v>
      </c>
      <c r="W160" s="304">
        <f t="shared" ca="1" si="62"/>
        <v>144.26377666823916</v>
      </c>
      <c r="Y160" s="314" t="str">
        <f t="shared" ca="1" si="80"/>
        <v/>
      </c>
      <c r="Z160" s="315" t="str">
        <f t="shared" ca="1" si="81"/>
        <v/>
      </c>
      <c r="AA160" s="316" t="str">
        <f t="shared" ca="1" si="82"/>
        <v/>
      </c>
      <c r="AC160" s="310" t="e">
        <f t="shared" ca="1" si="83"/>
        <v>#N/A</v>
      </c>
      <c r="AD160" s="323" t="e">
        <f t="shared" ca="1" si="84"/>
        <v>#N/A</v>
      </c>
      <c r="AE160" s="324">
        <f t="shared" ca="1" si="63"/>
        <v>676.55795320593597</v>
      </c>
      <c r="AG160" s="306">
        <f t="shared" ca="1" si="85"/>
        <v>73.550681673503334</v>
      </c>
      <c r="AH160" s="304">
        <f t="shared" ca="1" si="86"/>
        <v>83.255609538842421</v>
      </c>
    </row>
    <row r="161" spans="1:34" x14ac:dyDescent="0.2">
      <c r="A161" s="347">
        <f t="shared" ca="1" si="64"/>
        <v>0.01</v>
      </c>
      <c r="B161" s="304">
        <f t="shared" ca="1" si="65"/>
        <v>5.5699999999999665</v>
      </c>
      <c r="D161" s="306">
        <f t="shared" ca="1" si="66"/>
        <v>12.110980186409744</v>
      </c>
      <c r="E161" s="307">
        <f t="shared" ca="1" si="67"/>
        <v>72.241833042375205</v>
      </c>
      <c r="F161" s="304">
        <f t="shared" ca="1" si="68"/>
        <v>73.249971210902345</v>
      </c>
      <c r="G161" s="306">
        <f t="shared" ca="1" si="69"/>
        <v>40.407785567059463</v>
      </c>
      <c r="H161" s="307">
        <f t="shared" ca="1" si="70"/>
        <v>273.6644546345924</v>
      </c>
      <c r="I161" s="304">
        <f t="shared" ca="1" si="71"/>
        <v>276.63156519978401</v>
      </c>
      <c r="J161" s="306">
        <f t="shared" ca="1" si="72"/>
        <v>89.364564191538307</v>
      </c>
      <c r="K161" s="307">
        <f t="shared" ca="1" si="73"/>
        <v>679.29098566062976</v>
      </c>
      <c r="L161" s="304">
        <f t="shared" ca="1" si="58"/>
        <v>685.14397649905197</v>
      </c>
      <c r="M161" s="306">
        <f t="shared" ca="1" si="74"/>
        <v>1.4242010617240828</v>
      </c>
      <c r="N161" s="304">
        <f t="shared" ca="1" si="75"/>
        <v>81.6007100148408</v>
      </c>
      <c r="P161" s="310">
        <f t="shared" ca="1" si="76"/>
        <v>5</v>
      </c>
      <c r="Q161" s="304">
        <f t="shared" ca="1" si="77"/>
        <v>649.51000000000488</v>
      </c>
      <c r="R161" s="306">
        <f t="shared" ca="1" si="78"/>
        <v>0.32595880721153386</v>
      </c>
      <c r="S161" s="307">
        <f t="shared" ca="1" si="79"/>
        <v>6.0916475240602992</v>
      </c>
      <c r="T161" s="304">
        <f t="shared" ca="1" si="59"/>
        <v>59.759062211031541</v>
      </c>
      <c r="U161" s="311">
        <f t="shared" ca="1" si="60"/>
        <v>0</v>
      </c>
      <c r="V161" s="306">
        <f t="shared" ca="1" si="61"/>
        <v>1.1445203106323822</v>
      </c>
      <c r="W161" s="304">
        <f t="shared" ca="1" si="62"/>
        <v>144.99099694106505</v>
      </c>
      <c r="Y161" s="314" t="str">
        <f t="shared" ca="1" si="80"/>
        <v/>
      </c>
      <c r="Z161" s="315" t="str">
        <f t="shared" ca="1" si="81"/>
        <v/>
      </c>
      <c r="AA161" s="316" t="str">
        <f t="shared" ca="1" si="82"/>
        <v/>
      </c>
      <c r="AC161" s="310" t="e">
        <f t="shared" ca="1" si="83"/>
        <v>#N/A</v>
      </c>
      <c r="AD161" s="323" t="e">
        <f t="shared" ca="1" si="84"/>
        <v>#N/A</v>
      </c>
      <c r="AE161" s="324">
        <f t="shared" ca="1" si="63"/>
        <v>679.29098566062976</v>
      </c>
      <c r="AG161" s="306">
        <f t="shared" ca="1" si="85"/>
        <v>73.23596360044877</v>
      </c>
      <c r="AH161" s="304">
        <f t="shared" ca="1" si="86"/>
        <v>82.940817132998063</v>
      </c>
    </row>
    <row r="162" spans="1:34" x14ac:dyDescent="0.2">
      <c r="A162" s="347">
        <f t="shared" ca="1" si="64"/>
        <v>0.01</v>
      </c>
      <c r="B162" s="304">
        <f t="shared" ca="1" si="65"/>
        <v>5.5799999999999663</v>
      </c>
      <c r="D162" s="306">
        <f t="shared" ca="1" si="66"/>
        <v>12.069225543348566</v>
      </c>
      <c r="E162" s="307">
        <f t="shared" ca="1" si="67"/>
        <v>71.929644472745466</v>
      </c>
      <c r="F162" s="304">
        <f t="shared" ca="1" si="68"/>
        <v>72.935176418459292</v>
      </c>
      <c r="G162" s="306">
        <f t="shared" ca="1" si="69"/>
        <v>40.528477822492945</v>
      </c>
      <c r="H162" s="307">
        <f t="shared" ca="1" si="70"/>
        <v>274.38375107931984</v>
      </c>
      <c r="I162" s="304">
        <f t="shared" ca="1" si="71"/>
        <v>277.36077655459223</v>
      </c>
      <c r="J162" s="306">
        <f t="shared" ca="1" si="72"/>
        <v>89.769245508486065</v>
      </c>
      <c r="K162" s="307">
        <f t="shared" ca="1" si="73"/>
        <v>682.03122668919934</v>
      </c>
      <c r="L162" s="304">
        <f t="shared" ca="1" si="58"/>
        <v>687.91359313385931</v>
      </c>
      <c r="M162" s="306">
        <f t="shared" ca="1" si="74"/>
        <v>1.4241493978130504</v>
      </c>
      <c r="N162" s="304">
        <f t="shared" ca="1" si="75"/>
        <v>81.597749890785494</v>
      </c>
      <c r="P162" s="310">
        <f t="shared" ca="1" si="76"/>
        <v>5</v>
      </c>
      <c r="Q162" s="304">
        <f t="shared" ca="1" si="77"/>
        <v>648.05000000000496</v>
      </c>
      <c r="R162" s="306">
        <f t="shared" ca="1" si="78"/>
        <v>0.32522610123544604</v>
      </c>
      <c r="S162" s="307">
        <f t="shared" ca="1" si="79"/>
        <v>6.0883952630479445</v>
      </c>
      <c r="T162" s="304">
        <f t="shared" ca="1" si="59"/>
        <v>59.727157530500342</v>
      </c>
      <c r="U162" s="311">
        <f t="shared" ca="1" si="60"/>
        <v>0</v>
      </c>
      <c r="V162" s="306">
        <f t="shared" ca="1" si="61"/>
        <v>1.144206363868544</v>
      </c>
      <c r="W162" s="304">
        <f t="shared" ca="1" si="62"/>
        <v>145.71642643405045</v>
      </c>
      <c r="Y162" s="314" t="str">
        <f t="shared" ca="1" si="80"/>
        <v/>
      </c>
      <c r="Z162" s="315" t="str">
        <f t="shared" ca="1" si="81"/>
        <v/>
      </c>
      <c r="AA162" s="316" t="str">
        <f t="shared" ca="1" si="82"/>
        <v/>
      </c>
      <c r="AC162" s="310" t="e">
        <f t="shared" ca="1" si="83"/>
        <v>#N/A</v>
      </c>
      <c r="AD162" s="323" t="e">
        <f t="shared" ca="1" si="84"/>
        <v>#N/A</v>
      </c>
      <c r="AE162" s="324">
        <f t="shared" ca="1" si="63"/>
        <v>682.03122668919934</v>
      </c>
      <c r="AG162" s="306">
        <f t="shared" ca="1" si="85"/>
        <v>72.921098464817817</v>
      </c>
      <c r="AH162" s="304">
        <f t="shared" ca="1" si="86"/>
        <v>82.625877809237508</v>
      </c>
    </row>
    <row r="163" spans="1:34" x14ac:dyDescent="0.2">
      <c r="A163" s="347">
        <f t="shared" ca="1" si="64"/>
        <v>0.01</v>
      </c>
      <c r="B163" s="304">
        <f t="shared" ca="1" si="65"/>
        <v>5.5899999999999661</v>
      </c>
      <c r="D163" s="306">
        <f t="shared" ca="1" si="66"/>
        <v>12.027408319807053</v>
      </c>
      <c r="E163" s="307">
        <f t="shared" ca="1" si="67"/>
        <v>71.617321919298405</v>
      </c>
      <c r="F163" s="304">
        <f t="shared" ca="1" si="68"/>
        <v>72.620240634301013</v>
      </c>
      <c r="G163" s="306">
        <f t="shared" ca="1" si="69"/>
        <v>40.648751905691014</v>
      </c>
      <c r="H163" s="307">
        <f t="shared" ca="1" si="70"/>
        <v>275.0999242985128</v>
      </c>
      <c r="I163" s="304">
        <f t="shared" ca="1" si="71"/>
        <v>278.08683784123599</v>
      </c>
      <c r="J163" s="306">
        <f t="shared" ca="1" si="72"/>
        <v>90.175131657126983</v>
      </c>
      <c r="K163" s="307">
        <f t="shared" ca="1" si="73"/>
        <v>684.77864506608853</v>
      </c>
      <c r="L163" s="304">
        <f t="shared" ca="1" si="58"/>
        <v>690.69048575170643</v>
      </c>
      <c r="M163" s="306">
        <f t="shared" ca="1" si="74"/>
        <v>1.4240978507623359</v>
      </c>
      <c r="N163" s="304">
        <f t="shared" ca="1" si="75"/>
        <v>81.594796462333207</v>
      </c>
      <c r="P163" s="310">
        <f t="shared" ca="1" si="76"/>
        <v>5</v>
      </c>
      <c r="Q163" s="304">
        <f t="shared" ca="1" si="77"/>
        <v>646.59000000000492</v>
      </c>
      <c r="R163" s="306">
        <f t="shared" ca="1" si="78"/>
        <v>0.32449339525935816</v>
      </c>
      <c r="S163" s="307">
        <f t="shared" ca="1" si="79"/>
        <v>6.0851503290953506</v>
      </c>
      <c r="T163" s="304">
        <f t="shared" ca="1" si="59"/>
        <v>59.695324728425391</v>
      </c>
      <c r="U163" s="311">
        <f t="shared" ca="1" si="60"/>
        <v>0</v>
      </c>
      <c r="V163" s="306">
        <f t="shared" ca="1" si="61"/>
        <v>1.1438916783108966</v>
      </c>
      <c r="W163" s="304">
        <f t="shared" ca="1" si="62"/>
        <v>146.44003766626105</v>
      </c>
      <c r="Y163" s="314" t="str">
        <f t="shared" ca="1" si="80"/>
        <v/>
      </c>
      <c r="Z163" s="315" t="str">
        <f t="shared" ca="1" si="81"/>
        <v/>
      </c>
      <c r="AA163" s="316" t="str">
        <f t="shared" ca="1" si="82"/>
        <v/>
      </c>
      <c r="AC163" s="310" t="e">
        <f t="shared" ca="1" si="83"/>
        <v>#N/A</v>
      </c>
      <c r="AD163" s="323" t="e">
        <f t="shared" ca="1" si="84"/>
        <v>#N/A</v>
      </c>
      <c r="AE163" s="324">
        <f t="shared" ca="1" si="63"/>
        <v>684.77864506608853</v>
      </c>
      <c r="AG163" s="306">
        <f t="shared" ca="1" si="85"/>
        <v>72.606091719172596</v>
      </c>
      <c r="AH163" s="304">
        <f t="shared" ca="1" si="86"/>
        <v>82.310797018619738</v>
      </c>
    </row>
    <row r="164" spans="1:34" x14ac:dyDescent="0.2">
      <c r="A164" s="347">
        <f t="shared" ca="1" si="64"/>
        <v>0.01</v>
      </c>
      <c r="B164" s="304">
        <f t="shared" ca="1" si="65"/>
        <v>5.5999999999999659</v>
      </c>
      <c r="D164" s="306">
        <f t="shared" ca="1" si="66"/>
        <v>11.985529493086913</v>
      </c>
      <c r="E164" s="307">
        <f t="shared" ca="1" si="67"/>
        <v>71.304870731471937</v>
      </c>
      <c r="F164" s="304">
        <f t="shared" ca="1" si="68"/>
        <v>72.305169298339791</v>
      </c>
      <c r="G164" s="306">
        <f t="shared" ca="1" si="69"/>
        <v>40.768607200621886</v>
      </c>
      <c r="H164" s="307">
        <f t="shared" ca="1" si="70"/>
        <v>275.81297300582753</v>
      </c>
      <c r="I164" s="304">
        <f t="shared" ca="1" si="71"/>
        <v>278.80974769794534</v>
      </c>
      <c r="J164" s="306">
        <f t="shared" ca="1" si="72"/>
        <v>90.582218452658552</v>
      </c>
      <c r="K164" s="307">
        <f t="shared" ca="1" si="73"/>
        <v>687.53320955261029</v>
      </c>
      <c r="L164" s="304">
        <f t="shared" ca="1" si="58"/>
        <v>693.47462285041024</v>
      </c>
      <c r="M164" s="306">
        <f t="shared" ca="1" si="74"/>
        <v>1.4240464194227866</v>
      </c>
      <c r="N164" s="304">
        <f t="shared" ca="1" si="75"/>
        <v>81.591849663642336</v>
      </c>
      <c r="P164" s="310">
        <f t="shared" ca="1" si="76"/>
        <v>5</v>
      </c>
      <c r="Q164" s="304">
        <f t="shared" ca="1" si="77"/>
        <v>645.130000000005</v>
      </c>
      <c r="R164" s="306">
        <f t="shared" ca="1" si="78"/>
        <v>0.32376068928327029</v>
      </c>
      <c r="S164" s="307">
        <f t="shared" ca="1" si="79"/>
        <v>6.0819127222025182</v>
      </c>
      <c r="T164" s="304">
        <f t="shared" ca="1" si="59"/>
        <v>59.663563804806707</v>
      </c>
      <c r="U164" s="311">
        <f t="shared" ca="1" si="60"/>
        <v>0</v>
      </c>
      <c r="V164" s="306">
        <f t="shared" ca="1" si="61"/>
        <v>1.1435762581579285</v>
      </c>
      <c r="W164" s="304">
        <f t="shared" ca="1" si="62"/>
        <v>147.1618033576639</v>
      </c>
      <c r="Y164" s="314" t="str">
        <f t="shared" ca="1" si="80"/>
        <v/>
      </c>
      <c r="Z164" s="315" t="str">
        <f t="shared" ca="1" si="81"/>
        <v/>
      </c>
      <c r="AA164" s="316" t="str">
        <f t="shared" ca="1" si="82"/>
        <v/>
      </c>
      <c r="AC164" s="310" t="e">
        <f t="shared" ca="1" si="83"/>
        <v>#N/A</v>
      </c>
      <c r="AD164" s="323" t="e">
        <f t="shared" ca="1" si="84"/>
        <v>#N/A</v>
      </c>
      <c r="AE164" s="324">
        <f t="shared" ca="1" si="63"/>
        <v>687.53320955261029</v>
      </c>
      <c r="AG164" s="306">
        <f t="shared" ca="1" si="85"/>
        <v>72.290948795797391</v>
      </c>
      <c r="AH164" s="304">
        <f t="shared" ca="1" si="86"/>
        <v>81.995580191941201</v>
      </c>
    </row>
    <row r="165" spans="1:34" x14ac:dyDescent="0.2">
      <c r="A165" s="347">
        <f t="shared" ca="1" si="64"/>
        <v>0.01</v>
      </c>
      <c r="B165" s="304">
        <f t="shared" ca="1" si="65"/>
        <v>5.6099999999999657</v>
      </c>
      <c r="D165" s="306">
        <f t="shared" ca="1" si="66"/>
        <v>11.943590036243236</v>
      </c>
      <c r="E165" s="307">
        <f t="shared" ca="1" si="67"/>
        <v>70.992296238581744</v>
      </c>
      <c r="F165" s="304">
        <f t="shared" ca="1" si="68"/>
        <v>71.989967830110857</v>
      </c>
      <c r="G165" s="306">
        <f t="shared" ca="1" si="69"/>
        <v>40.888043100984319</v>
      </c>
      <c r="H165" s="307">
        <f t="shared" ca="1" si="70"/>
        <v>276.52289596821333</v>
      </c>
      <c r="I165" s="304">
        <f t="shared" ca="1" si="71"/>
        <v>279.52950481706807</v>
      </c>
      <c r="J165" s="306">
        <f t="shared" ca="1" si="72"/>
        <v>90.990501704166576</v>
      </c>
      <c r="K165" s="307">
        <f t="shared" ca="1" si="73"/>
        <v>690.29488889748052</v>
      </c>
      <c r="L165" s="304">
        <f t="shared" ca="1" si="58"/>
        <v>696.26597291434609</v>
      </c>
      <c r="M165" s="306">
        <f t="shared" ca="1" si="74"/>
        <v>1.4239951026574389</v>
      </c>
      <c r="N165" s="304">
        <f t="shared" ca="1" si="75"/>
        <v>81.58890942956964</v>
      </c>
      <c r="P165" s="310">
        <f t="shared" ca="1" si="76"/>
        <v>5</v>
      </c>
      <c r="Q165" s="304">
        <f t="shared" ca="1" si="77"/>
        <v>643.67000000000496</v>
      </c>
      <c r="R165" s="306">
        <f t="shared" ca="1" si="78"/>
        <v>0.32302798330718241</v>
      </c>
      <c r="S165" s="307">
        <f t="shared" ca="1" si="79"/>
        <v>6.0786824423694465</v>
      </c>
      <c r="T165" s="304">
        <f t="shared" ca="1" si="59"/>
        <v>59.631874759644276</v>
      </c>
      <c r="U165" s="311">
        <f t="shared" ca="1" si="60"/>
        <v>0</v>
      </c>
      <c r="V165" s="306">
        <f t="shared" ca="1" si="61"/>
        <v>1.1432601076069562</v>
      </c>
      <c r="W165" s="304">
        <f t="shared" ca="1" si="62"/>
        <v>147.88169642971988</v>
      </c>
      <c r="Y165" s="314" t="str">
        <f t="shared" ca="1" si="80"/>
        <v/>
      </c>
      <c r="Z165" s="315" t="str">
        <f t="shared" ca="1" si="81"/>
        <v/>
      </c>
      <c r="AA165" s="316" t="str">
        <f t="shared" ca="1" si="82"/>
        <v/>
      </c>
      <c r="AC165" s="310" t="e">
        <f t="shared" ca="1" si="83"/>
        <v>#N/A</v>
      </c>
      <c r="AD165" s="323" t="e">
        <f t="shared" ca="1" si="84"/>
        <v>#N/A</v>
      </c>
      <c r="AE165" s="324">
        <f t="shared" ca="1" si="63"/>
        <v>690.29488889748052</v>
      </c>
      <c r="AG165" s="306">
        <f t="shared" ca="1" si="85"/>
        <v>71.975675106478377</v>
      </c>
      <c r="AH165" s="304">
        <f t="shared" ca="1" si="86"/>
        <v>81.680232739515205</v>
      </c>
    </row>
    <row r="166" spans="1:34" x14ac:dyDescent="0.2">
      <c r="A166" s="347">
        <f t="shared" ca="1" si="64"/>
        <v>0.01</v>
      </c>
      <c r="B166" s="304">
        <f t="shared" ca="1" si="65"/>
        <v>5.6199999999999655</v>
      </c>
      <c r="D166" s="306">
        <f t="shared" ca="1" si="66"/>
        <v>11.901590918074513</v>
      </c>
      <c r="E166" s="307">
        <f t="shared" ca="1" si="67"/>
        <v>70.6796037496038</v>
      </c>
      <c r="F166" s="304">
        <f t="shared" ca="1" si="68"/>
        <v>71.674641628557879</v>
      </c>
      <c r="G166" s="306">
        <f t="shared" ca="1" si="69"/>
        <v>41.007059010165065</v>
      </c>
      <c r="H166" s="307">
        <f t="shared" ca="1" si="70"/>
        <v>277.22969200570935</v>
      </c>
      <c r="I166" s="304">
        <f t="shared" ca="1" si="71"/>
        <v>280.24610794486267</v>
      </c>
      <c r="J166" s="306">
        <f t="shared" ca="1" si="72"/>
        <v>91.399977214722327</v>
      </c>
      <c r="K166" s="307">
        <f t="shared" ca="1" si="73"/>
        <v>693.06365183735011</v>
      </c>
      <c r="L166" s="304">
        <f t="shared" ca="1" si="58"/>
        <v>699.06450441498987</v>
      </c>
      <c r="M166" s="306">
        <f t="shared" ca="1" si="74"/>
        <v>1.4239438993413329</v>
      </c>
      <c r="N166" s="304">
        <f t="shared" ca="1" si="75"/>
        <v>81.585975695659698</v>
      </c>
      <c r="P166" s="310">
        <f t="shared" ca="1" si="76"/>
        <v>5</v>
      </c>
      <c r="Q166" s="304">
        <f t="shared" ca="1" si="77"/>
        <v>642.21000000000504</v>
      </c>
      <c r="R166" s="306">
        <f t="shared" ca="1" si="78"/>
        <v>0.32229527733109459</v>
      </c>
      <c r="S166" s="307">
        <f t="shared" ca="1" si="79"/>
        <v>6.0754594895961356</v>
      </c>
      <c r="T166" s="304">
        <f t="shared" ca="1" si="59"/>
        <v>59.600257592938092</v>
      </c>
      <c r="U166" s="311">
        <f t="shared" ca="1" si="60"/>
        <v>0</v>
      </c>
      <c r="V166" s="306">
        <f t="shared" ca="1" si="61"/>
        <v>1.1429432308540384</v>
      </c>
      <c r="W166" s="304">
        <f t="shared" ca="1" si="62"/>
        <v>148.59969000595672</v>
      </c>
      <c r="Y166" s="314" t="str">
        <f t="shared" ca="1" si="80"/>
        <v/>
      </c>
      <c r="Z166" s="315" t="str">
        <f t="shared" ca="1" si="81"/>
        <v/>
      </c>
      <c r="AA166" s="316" t="str">
        <f t="shared" ca="1" si="82"/>
        <v/>
      </c>
      <c r="AC166" s="310" t="e">
        <f t="shared" ca="1" si="83"/>
        <v>#N/A</v>
      </c>
      <c r="AD166" s="323" t="e">
        <f t="shared" ca="1" si="84"/>
        <v>#N/A</v>
      </c>
      <c r="AE166" s="324">
        <f t="shared" ca="1" si="63"/>
        <v>693.06365183735011</v>
      </c>
      <c r="AG166" s="306">
        <f t="shared" ca="1" si="85"/>
        <v>71.660276042286483</v>
      </c>
      <c r="AH166" s="304">
        <f t="shared" ca="1" si="86"/>
        <v>81.364760050954672</v>
      </c>
    </row>
    <row r="167" spans="1:34" x14ac:dyDescent="0.2">
      <c r="A167" s="347">
        <f t="shared" ca="1" si="64"/>
        <v>0.01</v>
      </c>
      <c r="B167" s="304">
        <f t="shared" ca="1" si="65"/>
        <v>5.6299999999999653</v>
      </c>
      <c r="D167" s="306">
        <f t="shared" ca="1" si="66"/>
        <v>11.859533103112289</v>
      </c>
      <c r="E167" s="307">
        <f t="shared" ca="1" si="67"/>
        <v>70.366798552959679</v>
      </c>
      <c r="F167" s="304">
        <f t="shared" ca="1" si="68"/>
        <v>71.359196071821216</v>
      </c>
      <c r="G167" s="306">
        <f t="shared" ca="1" si="69"/>
        <v>41.125654341196189</v>
      </c>
      <c r="H167" s="307">
        <f t="shared" ca="1" si="70"/>
        <v>277.93335999123894</v>
      </c>
      <c r="I167" s="304">
        <f t="shared" ca="1" si="71"/>
        <v>280.95955588128902</v>
      </c>
      <c r="J167" s="306">
        <f t="shared" ca="1" si="72"/>
        <v>91.810640781479137</v>
      </c>
      <c r="K167" s="307">
        <f t="shared" ca="1" si="73"/>
        <v>695.83946709733482</v>
      </c>
      <c r="L167" s="304">
        <f t="shared" ca="1" si="58"/>
        <v>701.87018581145674</v>
      </c>
      <c r="M167" s="306">
        <f t="shared" ca="1" si="74"/>
        <v>1.4238928083613291</v>
      </c>
      <c r="N167" s="304">
        <f t="shared" ca="1" si="75"/>
        <v>81.583048398134295</v>
      </c>
      <c r="P167" s="310">
        <f t="shared" ca="1" si="76"/>
        <v>5</v>
      </c>
      <c r="Q167" s="304">
        <f t="shared" ca="1" si="77"/>
        <v>640.750000000005</v>
      </c>
      <c r="R167" s="306">
        <f t="shared" ca="1" si="78"/>
        <v>0.32156257135500665</v>
      </c>
      <c r="S167" s="307">
        <f t="shared" ca="1" si="79"/>
        <v>6.0722438638825853</v>
      </c>
      <c r="T167" s="304">
        <f t="shared" ca="1" si="59"/>
        <v>59.568712304688162</v>
      </c>
      <c r="U167" s="311">
        <f t="shared" ca="1" si="60"/>
        <v>0</v>
      </c>
      <c r="V167" s="306">
        <f t="shared" ca="1" si="61"/>
        <v>1.1426256320938899</v>
      </c>
      <c r="W167" s="304">
        <f t="shared" ca="1" si="62"/>
        <v>149.31575741252163</v>
      </c>
      <c r="Y167" s="314" t="str">
        <f t="shared" ca="1" si="80"/>
        <v/>
      </c>
      <c r="Z167" s="315" t="str">
        <f t="shared" ca="1" si="81"/>
        <v/>
      </c>
      <c r="AA167" s="316" t="str">
        <f t="shared" ca="1" si="82"/>
        <v/>
      </c>
      <c r="AC167" s="310" t="e">
        <f t="shared" ca="1" si="83"/>
        <v>#N/A</v>
      </c>
      <c r="AD167" s="323" t="e">
        <f t="shared" ca="1" si="84"/>
        <v>#N/A</v>
      </c>
      <c r="AE167" s="324">
        <f t="shared" ca="1" si="63"/>
        <v>695.83946709733482</v>
      </c>
      <c r="AG167" s="306">
        <f t="shared" ca="1" si="85"/>
        <v>71.344756973363204</v>
      </c>
      <c r="AH167" s="304">
        <f t="shared" ca="1" si="86"/>
        <v>81.049167494957615</v>
      </c>
    </row>
    <row r="168" spans="1:34" x14ac:dyDescent="0.2">
      <c r="A168" s="347">
        <f t="shared" ca="1" si="64"/>
        <v>0.01</v>
      </c>
      <c r="B168" s="304">
        <f t="shared" ca="1" si="65"/>
        <v>5.639999999999965</v>
      </c>
      <c r="D168" s="306">
        <f t="shared" ca="1" si="66"/>
        <v>11.817417551611003</v>
      </c>
      <c r="E168" s="307">
        <f t="shared" ca="1" si="67"/>
        <v>70.053885916304992</v>
      </c>
      <c r="F168" s="304">
        <f t="shared" ca="1" si="68"/>
        <v>71.043636517029441</v>
      </c>
      <c r="G168" s="306">
        <f t="shared" ca="1" si="69"/>
        <v>41.243828516712298</v>
      </c>
      <c r="H168" s="307">
        <f t="shared" ca="1" si="70"/>
        <v>278.63389885040198</v>
      </c>
      <c r="I168" s="304">
        <f t="shared" ca="1" si="71"/>
        <v>281.66984747979683</v>
      </c>
      <c r="J168" s="306">
        <f t="shared" ca="1" si="72"/>
        <v>92.222488195768676</v>
      </c>
      <c r="K168" s="307">
        <f t="shared" ca="1" si="73"/>
        <v>698.62230339154303</v>
      </c>
      <c r="L168" s="304">
        <f t="shared" ca="1" si="58"/>
        <v>704.68298555103763</v>
      </c>
      <c r="M168" s="306">
        <f t="shared" ca="1" si="74"/>
        <v>1.4238418286159302</v>
      </c>
      <c r="N168" s="304">
        <f t="shared" ca="1" si="75"/>
        <v>81.580127473882285</v>
      </c>
      <c r="P168" s="310">
        <f t="shared" ca="1" si="76"/>
        <v>5</v>
      </c>
      <c r="Q168" s="304">
        <f t="shared" ca="1" si="77"/>
        <v>639.29000000000508</v>
      </c>
      <c r="R168" s="306">
        <f t="shared" ca="1" si="78"/>
        <v>0.32082986537891883</v>
      </c>
      <c r="S168" s="307">
        <f t="shared" ca="1" si="79"/>
        <v>6.0690355652287957</v>
      </c>
      <c r="T168" s="304">
        <f t="shared" ca="1" si="59"/>
        <v>59.537238894894486</v>
      </c>
      <c r="U168" s="311">
        <f t="shared" ca="1" si="60"/>
        <v>0</v>
      </c>
      <c r="V168" s="306">
        <f t="shared" ca="1" si="61"/>
        <v>1.1423073155197954</v>
      </c>
      <c r="W168" s="304">
        <f t="shared" ca="1" si="62"/>
        <v>150.02987217871325</v>
      </c>
      <c r="Y168" s="314" t="str">
        <f t="shared" ca="1" si="80"/>
        <v/>
      </c>
      <c r="Z168" s="315" t="str">
        <f t="shared" ca="1" si="81"/>
        <v/>
      </c>
      <c r="AA168" s="316" t="str">
        <f t="shared" ca="1" si="82"/>
        <v/>
      </c>
      <c r="AC168" s="310" t="e">
        <f t="shared" ca="1" si="83"/>
        <v>#N/A</v>
      </c>
      <c r="AD168" s="323" t="e">
        <f t="shared" ca="1" si="84"/>
        <v>#N/A</v>
      </c>
      <c r="AE168" s="324">
        <f t="shared" ca="1" si="63"/>
        <v>698.62230339154303</v>
      </c>
      <c r="AG168" s="306">
        <f t="shared" ca="1" si="85"/>
        <v>71.02912324870934</v>
      </c>
      <c r="AH168" s="304">
        <f t="shared" ca="1" si="86"/>
        <v>80.733460419095763</v>
      </c>
    </row>
    <row r="169" spans="1:34" x14ac:dyDescent="0.2">
      <c r="A169" s="347">
        <f t="shared" ca="1" si="64"/>
        <v>0.01</v>
      </c>
      <c r="B169" s="304">
        <f t="shared" ca="1" si="65"/>
        <v>5.6499999999999648</v>
      </c>
      <c r="D169" s="306">
        <f t="shared" ca="1" si="66"/>
        <v>11.775245219537565</v>
      </c>
      <c r="E169" s="307">
        <f t="shared" ca="1" si="67"/>
        <v>69.740871086320922</v>
      </c>
      <c r="F169" s="304">
        <f t="shared" ca="1" si="68"/>
        <v>70.727968300093821</v>
      </c>
      <c r="G169" s="306">
        <f t="shared" ca="1" si="69"/>
        <v>41.361580968907674</v>
      </c>
      <c r="H169" s="307">
        <f t="shared" ca="1" si="70"/>
        <v>279.33130756126519</v>
      </c>
      <c r="I169" s="304">
        <f t="shared" ca="1" si="71"/>
        <v>282.37698164711236</v>
      </c>
      <c r="J169" s="306">
        <f t="shared" ca="1" si="72"/>
        <v>92.635515243196778</v>
      </c>
      <c r="K169" s="307">
        <f t="shared" ca="1" si="73"/>
        <v>701.41212942360141</v>
      </c>
      <c r="L169" s="304">
        <f t="shared" ca="1" si="58"/>
        <v>707.50287206973485</v>
      </c>
      <c r="M169" s="306">
        <f t="shared" ca="1" si="74"/>
        <v>1.4237909590151046</v>
      </c>
      <c r="N169" s="304">
        <f t="shared" ca="1" si="75"/>
        <v>81.577212860449464</v>
      </c>
      <c r="P169" s="310">
        <f t="shared" ca="1" si="76"/>
        <v>5</v>
      </c>
      <c r="Q169" s="304">
        <f t="shared" ca="1" si="77"/>
        <v>637.83000000000516</v>
      </c>
      <c r="R169" s="306">
        <f t="shared" ca="1" si="78"/>
        <v>0.32009715940283101</v>
      </c>
      <c r="S169" s="307">
        <f t="shared" ca="1" si="79"/>
        <v>6.0658345936347677</v>
      </c>
      <c r="T169" s="304">
        <f t="shared" ca="1" si="59"/>
        <v>59.505837363557077</v>
      </c>
      <c r="U169" s="311">
        <f t="shared" ca="1" si="60"/>
        <v>0</v>
      </c>
      <c r="V169" s="306">
        <f t="shared" ca="1" si="61"/>
        <v>1.1419882853235253</v>
      </c>
      <c r="W169" s="304">
        <f t="shared" ca="1" si="62"/>
        <v>150.74200803749491</v>
      </c>
      <c r="Y169" s="314" t="str">
        <f t="shared" ca="1" si="80"/>
        <v/>
      </c>
      <c r="Z169" s="315" t="str">
        <f t="shared" ca="1" si="81"/>
        <v/>
      </c>
      <c r="AA169" s="316" t="str">
        <f t="shared" ca="1" si="82"/>
        <v/>
      </c>
      <c r="AC169" s="310" t="e">
        <f t="shared" ca="1" si="83"/>
        <v>#N/A</v>
      </c>
      <c r="AD169" s="323" t="e">
        <f t="shared" ca="1" si="84"/>
        <v>#N/A</v>
      </c>
      <c r="AE169" s="324">
        <f t="shared" ca="1" si="63"/>
        <v>701.41212942360141</v>
      </c>
      <c r="AG169" s="306">
        <f t="shared" ca="1" si="85"/>
        <v>70.713380195976939</v>
      </c>
      <c r="AH169" s="304">
        <f t="shared" ca="1" si="86"/>
        <v>80.417644149606204</v>
      </c>
    </row>
    <row r="170" spans="1:34" x14ac:dyDescent="0.2">
      <c r="A170" s="347">
        <f t="shared" ca="1" si="64"/>
        <v>0.01</v>
      </c>
      <c r="B170" s="304">
        <f t="shared" ca="1" si="65"/>
        <v>5.6599999999999646</v>
      </c>
      <c r="D170" s="306">
        <f t="shared" ca="1" si="66"/>
        <v>11.733017058561002</v>
      </c>
      <c r="E170" s="307">
        <f t="shared" ca="1" si="67"/>
        <v>69.427759288508781</v>
      </c>
      <c r="F170" s="304">
        <f t="shared" ca="1" si="68"/>
        <v>70.412196735505987</v>
      </c>
      <c r="G170" s="306">
        <f t="shared" ca="1" si="69"/>
        <v>41.478911139493285</v>
      </c>
      <c r="H170" s="307">
        <f t="shared" ca="1" si="70"/>
        <v>280.02558515415029</v>
      </c>
      <c r="I170" s="304">
        <f t="shared" ca="1" si="71"/>
        <v>283.0809573430227</v>
      </c>
      <c r="J170" s="306">
        <f t="shared" ca="1" si="72"/>
        <v>93.049717703738779</v>
      </c>
      <c r="K170" s="307">
        <f t="shared" ca="1" si="73"/>
        <v>704.20891388717848</v>
      </c>
      <c r="L170" s="304">
        <f t="shared" ca="1" si="58"/>
        <v>710.32981379279374</v>
      </c>
      <c r="M170" s="306">
        <f t="shared" ca="1" si="74"/>
        <v>1.4237401984801137</v>
      </c>
      <c r="N170" s="304">
        <f t="shared" ca="1" si="75"/>
        <v>81.57430449602866</v>
      </c>
      <c r="P170" s="310">
        <f t="shared" ca="1" si="76"/>
        <v>5</v>
      </c>
      <c r="Q170" s="304">
        <f t="shared" ca="1" si="77"/>
        <v>636.37000000000512</v>
      </c>
      <c r="R170" s="306">
        <f t="shared" ca="1" si="78"/>
        <v>0.31936445342674313</v>
      </c>
      <c r="S170" s="307">
        <f t="shared" ca="1" si="79"/>
        <v>6.0626409491005004</v>
      </c>
      <c r="T170" s="304">
        <f t="shared" ca="1" si="59"/>
        <v>59.474507710675915</v>
      </c>
      <c r="U170" s="311">
        <f t="shared" ca="1" si="60"/>
        <v>0</v>
      </c>
      <c r="V170" s="306">
        <f t="shared" ca="1" si="61"/>
        <v>1.1416685456952502</v>
      </c>
      <c r="W170" s="304">
        <f t="shared" ca="1" si="62"/>
        <v>151.45213892598676</v>
      </c>
      <c r="Y170" s="314" t="str">
        <f t="shared" ca="1" si="80"/>
        <v/>
      </c>
      <c r="Z170" s="315" t="str">
        <f t="shared" ca="1" si="81"/>
        <v/>
      </c>
      <c r="AA170" s="316" t="str">
        <f t="shared" ca="1" si="82"/>
        <v/>
      </c>
      <c r="AC170" s="310" t="e">
        <f t="shared" ca="1" si="83"/>
        <v>#N/A</v>
      </c>
      <c r="AD170" s="323" t="e">
        <f t="shared" ca="1" si="84"/>
        <v>#N/A</v>
      </c>
      <c r="AE170" s="324">
        <f t="shared" ca="1" si="63"/>
        <v>704.20891388717848</v>
      </c>
      <c r="AG170" s="306">
        <f t="shared" ca="1" si="85"/>
        <v>70.397533121264104</v>
      </c>
      <c r="AH170" s="304">
        <f t="shared" ca="1" si="86"/>
        <v>80.101723991186006</v>
      </c>
    </row>
    <row r="171" spans="1:34" x14ac:dyDescent="0.2">
      <c r="A171" s="347">
        <f t="shared" ca="1" si="64"/>
        <v>0.01</v>
      </c>
      <c r="B171" s="304">
        <f t="shared" ca="1" si="65"/>
        <v>5.6699999999999644</v>
      </c>
      <c r="D171" s="306">
        <f t="shared" ca="1" si="66"/>
        <v>11.69073401604205</v>
      </c>
      <c r="E171" s="307">
        <f t="shared" ca="1" si="67"/>
        <v>69.114555726987589</v>
      </c>
      <c r="F171" s="304">
        <f t="shared" ca="1" si="68"/>
        <v>70.096327116138653</v>
      </c>
      <c r="G171" s="306">
        <f t="shared" ca="1" si="69"/>
        <v>41.595818479653708</v>
      </c>
      <c r="H171" s="307">
        <f t="shared" ca="1" si="70"/>
        <v>280.71673071142015</v>
      </c>
      <c r="I171" s="304">
        <f t="shared" ca="1" si="71"/>
        <v>283.78177358015841</v>
      </c>
      <c r="J171" s="306">
        <f t="shared" ca="1" si="72"/>
        <v>93.465091351834516</v>
      </c>
      <c r="K171" s="307">
        <f t="shared" ca="1" si="73"/>
        <v>707.01262546650628</v>
      </c>
      <c r="L171" s="304">
        <f t="shared" ca="1" si="58"/>
        <v>713.16377913523422</v>
      </c>
      <c r="M171" s="306">
        <f t="shared" ca="1" si="74"/>
        <v>1.423689545943343</v>
      </c>
      <c r="N171" s="304">
        <f t="shared" ca="1" si="75"/>
        <v>81.571402319450058</v>
      </c>
      <c r="P171" s="310">
        <f t="shared" ca="1" si="76"/>
        <v>5</v>
      </c>
      <c r="Q171" s="304">
        <f t="shared" ca="1" si="77"/>
        <v>634.9100000000052</v>
      </c>
      <c r="R171" s="306">
        <f t="shared" ca="1" si="78"/>
        <v>0.31863174745065526</v>
      </c>
      <c r="S171" s="307">
        <f t="shared" ca="1" si="79"/>
        <v>6.0594546316259938</v>
      </c>
      <c r="T171" s="304">
        <f t="shared" ca="1" si="59"/>
        <v>59.443249936251</v>
      </c>
      <c r="U171" s="311">
        <f t="shared" ca="1" si="60"/>
        <v>0</v>
      </c>
      <c r="V171" s="306">
        <f t="shared" ca="1" si="61"/>
        <v>1.1413481008234565</v>
      </c>
      <c r="W171" s="304">
        <f t="shared" ca="1" si="62"/>
        <v>152.16023898593897</v>
      </c>
      <c r="Y171" s="314" t="str">
        <f t="shared" ca="1" si="80"/>
        <v/>
      </c>
      <c r="Z171" s="315" t="str">
        <f t="shared" ca="1" si="81"/>
        <v/>
      </c>
      <c r="AA171" s="316" t="str">
        <f t="shared" ca="1" si="82"/>
        <v/>
      </c>
      <c r="AC171" s="310" t="e">
        <f t="shared" ca="1" si="83"/>
        <v>#N/A</v>
      </c>
      <c r="AD171" s="323" t="e">
        <f t="shared" ca="1" si="84"/>
        <v>#N/A</v>
      </c>
      <c r="AE171" s="324">
        <f t="shared" ca="1" si="63"/>
        <v>707.01262546650628</v>
      </c>
      <c r="AG171" s="306">
        <f t="shared" ca="1" si="85"/>
        <v>70.081587308912873</v>
      </c>
      <c r="AH171" s="304">
        <f t="shared" ca="1" si="86"/>
        <v>79.785705226789915</v>
      </c>
    </row>
    <row r="172" spans="1:34" x14ac:dyDescent="0.2">
      <c r="A172" s="347">
        <f t="shared" ca="1" si="64"/>
        <v>0.01</v>
      </c>
      <c r="B172" s="304">
        <f t="shared" ca="1" si="65"/>
        <v>5.6799999999999642</v>
      </c>
      <c r="D172" s="306">
        <f t="shared" ca="1" si="66"/>
        <v>11.648397035022683</v>
      </c>
      <c r="E172" s="307">
        <f t="shared" ca="1" si="67"/>
        <v>68.801265584294626</v>
      </c>
      <c r="F172" s="304">
        <f t="shared" ca="1" si="68"/>
        <v>69.780364713049252</v>
      </c>
      <c r="G172" s="306">
        <f t="shared" ca="1" si="69"/>
        <v>41.712302450003932</v>
      </c>
      <c r="H172" s="307">
        <f t="shared" ca="1" si="70"/>
        <v>281.40474336726311</v>
      </c>
      <c r="I172" s="304">
        <f t="shared" ca="1" si="71"/>
        <v>284.47942942377364</v>
      </c>
      <c r="J172" s="306">
        <f t="shared" ca="1" si="72"/>
        <v>93.881631956482806</v>
      </c>
      <c r="K172" s="307">
        <f t="shared" ca="1" si="73"/>
        <v>709.82323283689971</v>
      </c>
      <c r="L172" s="304">
        <f t="shared" ca="1" si="58"/>
        <v>716.00473650237814</v>
      </c>
      <c r="M172" s="306">
        <f t="shared" ca="1" si="74"/>
        <v>1.4236390003481352</v>
      </c>
      <c r="N172" s="304">
        <f t="shared" ca="1" si="75"/>
        <v>81.568506270171682</v>
      </c>
      <c r="P172" s="310">
        <f t="shared" ca="1" si="76"/>
        <v>5</v>
      </c>
      <c r="Q172" s="304">
        <f t="shared" ca="1" si="77"/>
        <v>633.45000000000516</v>
      </c>
      <c r="R172" s="306">
        <f t="shared" ca="1" si="78"/>
        <v>0.31789904147456738</v>
      </c>
      <c r="S172" s="307">
        <f t="shared" ca="1" si="79"/>
        <v>6.056275641211248</v>
      </c>
      <c r="T172" s="304">
        <f t="shared" ca="1" si="59"/>
        <v>59.412064040282345</v>
      </c>
      <c r="U172" s="311">
        <f t="shared" ca="1" si="60"/>
        <v>0</v>
      </c>
      <c r="V172" s="306">
        <f t="shared" ca="1" si="61"/>
        <v>1.1410269548948639</v>
      </c>
      <c r="W172" s="304">
        <f t="shared" ca="1" si="62"/>
        <v>152.86628256418467</v>
      </c>
      <c r="Y172" s="314" t="str">
        <f t="shared" ca="1" si="80"/>
        <v/>
      </c>
      <c r="Z172" s="315" t="str">
        <f t="shared" ca="1" si="81"/>
        <v/>
      </c>
      <c r="AA172" s="316" t="str">
        <f t="shared" ca="1" si="82"/>
        <v/>
      </c>
      <c r="AC172" s="310" t="e">
        <f t="shared" ca="1" si="83"/>
        <v>#N/A</v>
      </c>
      <c r="AD172" s="323" t="e">
        <f t="shared" ca="1" si="84"/>
        <v>#N/A</v>
      </c>
      <c r="AE172" s="324">
        <f t="shared" ca="1" si="63"/>
        <v>709.82323283689971</v>
      </c>
      <c r="AG172" s="306">
        <f t="shared" ca="1" si="85"/>
        <v>69.765548021310053</v>
      </c>
      <c r="AH172" s="304">
        <f t="shared" ca="1" si="86"/>
        <v>79.469593117430961</v>
      </c>
    </row>
    <row r="173" spans="1:34" x14ac:dyDescent="0.2">
      <c r="A173" s="347">
        <f t="shared" ca="1" si="64"/>
        <v>0.01</v>
      </c>
      <c r="B173" s="304">
        <f t="shared" ca="1" si="65"/>
        <v>5.689999999999964</v>
      </c>
      <c r="D173" s="306">
        <f t="shared" ca="1" si="66"/>
        <v>11.606007054215663</v>
      </c>
      <c r="E173" s="307">
        <f t="shared" ca="1" si="67"/>
        <v>68.487894021189277</v>
      </c>
      <c r="F173" s="304">
        <f t="shared" ca="1" si="68"/>
        <v>69.464314775287008</v>
      </c>
      <c r="G173" s="306">
        <f t="shared" ca="1" si="69"/>
        <v>41.828362520546087</v>
      </c>
      <c r="H173" s="307">
        <f t="shared" ca="1" si="70"/>
        <v>282.089622307475</v>
      </c>
      <c r="I173" s="304">
        <f t="shared" ca="1" si="71"/>
        <v>285.17392399152504</v>
      </c>
      <c r="J173" s="306">
        <f t="shared" ca="1" si="72"/>
        <v>94.299335281335559</v>
      </c>
      <c r="K173" s="307">
        <f t="shared" ca="1" si="73"/>
        <v>712.64070466527335</v>
      </c>
      <c r="L173" s="304">
        <f t="shared" ca="1" si="58"/>
        <v>718.85265429037622</v>
      </c>
      <c r="M173" s="306">
        <f t="shared" ca="1" si="74"/>
        <v>1.4235885606486276</v>
      </c>
      <c r="N173" s="304">
        <f t="shared" ca="1" si="75"/>
        <v>81.565616288269993</v>
      </c>
      <c r="P173" s="310">
        <f t="shared" ca="1" si="76"/>
        <v>5</v>
      </c>
      <c r="Q173" s="304">
        <f t="shared" ca="1" si="77"/>
        <v>631.99000000000524</v>
      </c>
      <c r="R173" s="306">
        <f t="shared" ca="1" si="78"/>
        <v>0.31716633549847956</v>
      </c>
      <c r="S173" s="307">
        <f t="shared" ca="1" si="79"/>
        <v>6.0531039778562628</v>
      </c>
      <c r="T173" s="304">
        <f t="shared" ca="1" si="59"/>
        <v>59.380950022769937</v>
      </c>
      <c r="U173" s="311">
        <f t="shared" ca="1" si="60"/>
        <v>0</v>
      </c>
      <c r="V173" s="306">
        <f t="shared" ca="1" si="61"/>
        <v>1.1407051120943423</v>
      </c>
      <c r="W173" s="304">
        <f t="shared" ca="1" si="62"/>
        <v>153.57024421307409</v>
      </c>
      <c r="Y173" s="314" t="str">
        <f t="shared" ca="1" si="80"/>
        <v/>
      </c>
      <c r="Z173" s="315" t="str">
        <f t="shared" ca="1" si="81"/>
        <v/>
      </c>
      <c r="AA173" s="316" t="str">
        <f t="shared" ca="1" si="82"/>
        <v/>
      </c>
      <c r="AC173" s="310" t="e">
        <f t="shared" ca="1" si="83"/>
        <v>#N/A</v>
      </c>
      <c r="AD173" s="323" t="e">
        <f t="shared" ca="1" si="84"/>
        <v>#N/A</v>
      </c>
      <c r="AE173" s="324">
        <f t="shared" ca="1" si="63"/>
        <v>712.64070466527335</v>
      </c>
      <c r="AG173" s="306">
        <f t="shared" ca="1" si="85"/>
        <v>69.449420498691211</v>
      </c>
      <c r="AH173" s="304">
        <f t="shared" ca="1" si="86"/>
        <v>79.153392901984262</v>
      </c>
    </row>
    <row r="174" spans="1:34" x14ac:dyDescent="0.2">
      <c r="A174" s="347">
        <f t="shared" ca="1" si="64"/>
        <v>0.01</v>
      </c>
      <c r="B174" s="304">
        <f t="shared" ca="1" si="65"/>
        <v>5.6999999999999638</v>
      </c>
      <c r="D174" s="306">
        <f t="shared" ca="1" si="66"/>
        <v>11.563565007994006</v>
      </c>
      <c r="E174" s="307">
        <f t="shared" ca="1" si="67"/>
        <v>68.174446176459483</v>
      </c>
      <c r="F174" s="304">
        <f t="shared" ca="1" si="68"/>
        <v>69.148182529702652</v>
      </c>
      <c r="G174" s="306">
        <f t="shared" ca="1" si="69"/>
        <v>41.943998170626024</v>
      </c>
      <c r="H174" s="307">
        <f t="shared" ca="1" si="70"/>
        <v>282.77136676923959</v>
      </c>
      <c r="I174" s="304">
        <f t="shared" ca="1" si="71"/>
        <v>285.86525645324809</v>
      </c>
      <c r="J174" s="306">
        <f t="shared" ca="1" si="72"/>
        <v>94.718197084791413</v>
      </c>
      <c r="K174" s="307">
        <f t="shared" ca="1" si="73"/>
        <v>715.46500961065692</v>
      </c>
      <c r="L174" s="304">
        <f t="shared" ca="1" si="58"/>
        <v>721.70750088673094</v>
      </c>
      <c r="M174" s="306">
        <f t="shared" ca="1" si="74"/>
        <v>1.423538225809591</v>
      </c>
      <c r="N174" s="304">
        <f t="shared" ca="1" si="75"/>
        <v>81.562732314430718</v>
      </c>
      <c r="P174" s="310">
        <f t="shared" ca="1" si="76"/>
        <v>5</v>
      </c>
      <c r="Q174" s="304">
        <f t="shared" ca="1" si="77"/>
        <v>630.53000000000532</v>
      </c>
      <c r="R174" s="306">
        <f t="shared" ca="1" si="78"/>
        <v>0.31643362952239174</v>
      </c>
      <c r="S174" s="307">
        <f t="shared" ca="1" si="79"/>
        <v>6.0499396415610391</v>
      </c>
      <c r="T174" s="304">
        <f t="shared" ca="1" si="59"/>
        <v>59.349907883713797</v>
      </c>
      <c r="U174" s="311">
        <f t="shared" ca="1" si="60"/>
        <v>0</v>
      </c>
      <c r="V174" s="306">
        <f t="shared" ca="1" si="61"/>
        <v>1.1403825766048274</v>
      </c>
      <c r="W174" s="304">
        <f t="shared" ca="1" si="62"/>
        <v>154.27209869088813</v>
      </c>
      <c r="Y174" s="314" t="str">
        <f t="shared" ca="1" si="80"/>
        <v/>
      </c>
      <c r="Z174" s="315" t="str">
        <f t="shared" ca="1" si="81"/>
        <v/>
      </c>
      <c r="AA174" s="316" t="str">
        <f t="shared" ca="1" si="82"/>
        <v/>
      </c>
      <c r="AC174" s="310" t="e">
        <f t="shared" ca="1" si="83"/>
        <v>#N/A</v>
      </c>
      <c r="AD174" s="323" t="e">
        <f t="shared" ca="1" si="84"/>
        <v>#N/A</v>
      </c>
      <c r="AE174" s="324">
        <f t="shared" ca="1" si="63"/>
        <v>715.46500961065692</v>
      </c>
      <c r="AG174" s="306">
        <f t="shared" ca="1" si="85"/>
        <v>69.133209958947418</v>
      </c>
      <c r="AH174" s="304">
        <f t="shared" ca="1" si="86"/>
        <v>78.837109796993516</v>
      </c>
    </row>
    <row r="175" spans="1:34" x14ac:dyDescent="0.2">
      <c r="A175" s="347">
        <f t="shared" ca="1" si="64"/>
        <v>0.01</v>
      </c>
      <c r="B175" s="304">
        <f t="shared" ca="1" si="65"/>
        <v>5.7099999999999635</v>
      </c>
      <c r="D175" s="306">
        <f t="shared" ca="1" si="66"/>
        <v>11.521071826380616</v>
      </c>
      <c r="E175" s="307">
        <f t="shared" ca="1" si="67"/>
        <v>67.860927166731756</v>
      </c>
      <c r="F175" s="304">
        <f t="shared" ca="1" si="68"/>
        <v>68.831973180761665</v>
      </c>
      <c r="G175" s="306">
        <f t="shared" ca="1" si="69"/>
        <v>42.059208888889827</v>
      </c>
      <c r="H175" s="307">
        <f t="shared" ca="1" si="70"/>
        <v>283.4499760409069</v>
      </c>
      <c r="I175" s="304">
        <f t="shared" ca="1" si="71"/>
        <v>286.5534260307316</v>
      </c>
      <c r="J175" s="306">
        <f t="shared" ca="1" si="72"/>
        <v>95.138213120088992</v>
      </c>
      <c r="K175" s="307">
        <f t="shared" ca="1" si="73"/>
        <v>718.29611632470767</v>
      </c>
      <c r="L175" s="304">
        <f t="shared" ca="1" si="58"/>
        <v>724.56924467081922</v>
      </c>
      <c r="M175" s="306">
        <f t="shared" ca="1" si="74"/>
        <v>1.4234879948062726</v>
      </c>
      <c r="N175" s="304">
        <f t="shared" ca="1" si="75"/>
        <v>81.559854289939878</v>
      </c>
      <c r="P175" s="310">
        <f t="shared" ca="1" si="76"/>
        <v>5</v>
      </c>
      <c r="Q175" s="304">
        <f t="shared" ca="1" si="77"/>
        <v>629.07000000000528</v>
      </c>
      <c r="R175" s="306">
        <f t="shared" ca="1" si="78"/>
        <v>0.3157009235463038</v>
      </c>
      <c r="S175" s="307">
        <f t="shared" ca="1" si="79"/>
        <v>6.0467826323255762</v>
      </c>
      <c r="T175" s="304">
        <f t="shared" ca="1" si="59"/>
        <v>59.318937623113904</v>
      </c>
      <c r="U175" s="311">
        <f t="shared" ca="1" si="60"/>
        <v>0</v>
      </c>
      <c r="V175" s="306">
        <f t="shared" ca="1" si="61"/>
        <v>1.1400593526072396</v>
      </c>
      <c r="W175" s="304">
        <f t="shared" ca="1" si="62"/>
        <v>154.97182096223298</v>
      </c>
      <c r="Y175" s="314" t="str">
        <f t="shared" ca="1" si="80"/>
        <v/>
      </c>
      <c r="Z175" s="315" t="str">
        <f t="shared" ca="1" si="81"/>
        <v/>
      </c>
      <c r="AA175" s="316" t="str">
        <f t="shared" ca="1" si="82"/>
        <v/>
      </c>
      <c r="AC175" s="310" t="e">
        <f t="shared" ca="1" si="83"/>
        <v>#N/A</v>
      </c>
      <c r="AD175" s="323" t="e">
        <f t="shared" ca="1" si="84"/>
        <v>#N/A</v>
      </c>
      <c r="AE175" s="324">
        <f t="shared" ca="1" si="63"/>
        <v>718.29611632470767</v>
      </c>
      <c r="AG175" s="306">
        <f t="shared" ca="1" si="85"/>
        <v>68.816921597435339</v>
      </c>
      <c r="AH175" s="304">
        <f t="shared" ca="1" si="86"/>
        <v>78.520748996480989</v>
      </c>
    </row>
    <row r="176" spans="1:34" x14ac:dyDescent="0.2">
      <c r="A176" s="347">
        <f t="shared" ca="1" si="64"/>
        <v>0.01</v>
      </c>
      <c r="B176" s="304">
        <f t="shared" ca="1" si="65"/>
        <v>5.7199999999999633</v>
      </c>
      <c r="D176" s="306">
        <f t="shared" ca="1" si="66"/>
        <v>11.478528435037775</v>
      </c>
      <c r="E176" s="307">
        <f t="shared" ca="1" si="67"/>
        <v>67.547342086283919</v>
      </c>
      <c r="F176" s="304">
        <f t="shared" ca="1" si="68"/>
        <v>68.515691910360459</v>
      </c>
      <c r="G176" s="306">
        <f t="shared" ca="1" si="69"/>
        <v>42.173994173240203</v>
      </c>
      <c r="H176" s="307">
        <f t="shared" ca="1" si="70"/>
        <v>284.12544946176973</v>
      </c>
      <c r="I176" s="304">
        <f t="shared" ca="1" si="71"/>
        <v>287.23843199749086</v>
      </c>
      <c r="J176" s="306">
        <f t="shared" ca="1" si="72"/>
        <v>95.559379135399638</v>
      </c>
      <c r="K176" s="307">
        <f t="shared" ca="1" si="73"/>
        <v>721.13399345222103</v>
      </c>
      <c r="L176" s="304">
        <f t="shared" ca="1" si="58"/>
        <v>727.43785401441062</v>
      </c>
      <c r="M176" s="306">
        <f t="shared" ca="1" si="74"/>
        <v>1.4234378666242415</v>
      </c>
      <c r="N176" s="304">
        <f t="shared" ca="1" si="75"/>
        <v>81.55698215667482</v>
      </c>
      <c r="P176" s="310">
        <f t="shared" ca="1" si="76"/>
        <v>5</v>
      </c>
      <c r="Q176" s="304">
        <f t="shared" ca="1" si="77"/>
        <v>627.61000000000536</v>
      </c>
      <c r="R176" s="306">
        <f t="shared" ca="1" si="78"/>
        <v>0.31496821757021598</v>
      </c>
      <c r="S176" s="307">
        <f t="shared" ca="1" si="79"/>
        <v>6.043632950149874</v>
      </c>
      <c r="T176" s="304">
        <f t="shared" ca="1" si="59"/>
        <v>59.288039240970264</v>
      </c>
      <c r="U176" s="311">
        <f t="shared" ca="1" si="60"/>
        <v>0</v>
      </c>
      <c r="V176" s="306">
        <f t="shared" ca="1" si="61"/>
        <v>1.1397354442804031</v>
      </c>
      <c r="W176" s="304">
        <f t="shared" ca="1" si="62"/>
        <v>155.66938619841622</v>
      </c>
      <c r="Y176" s="314" t="str">
        <f t="shared" ca="1" si="80"/>
        <v/>
      </c>
      <c r="Z176" s="315" t="str">
        <f t="shared" ca="1" si="81"/>
        <v/>
      </c>
      <c r="AA176" s="316" t="str">
        <f t="shared" ca="1" si="82"/>
        <v/>
      </c>
      <c r="AC176" s="310" t="e">
        <f t="shared" ca="1" si="83"/>
        <v>#N/A</v>
      </c>
      <c r="AD176" s="323" t="e">
        <f t="shared" ca="1" si="84"/>
        <v>#N/A</v>
      </c>
      <c r="AE176" s="324">
        <f t="shared" ca="1" si="63"/>
        <v>721.13399345222103</v>
      </c>
      <c r="AG176" s="306">
        <f t="shared" ca="1" si="85"/>
        <v>68.500560586790215</v>
      </c>
      <c r="AH176" s="304">
        <f t="shared" ca="1" si="86"/>
        <v>78.204315671760241</v>
      </c>
    </row>
    <row r="177" spans="1:34" x14ac:dyDescent="0.2">
      <c r="A177" s="347">
        <f t="shared" ca="1" si="64"/>
        <v>0.01</v>
      </c>
      <c r="B177" s="304">
        <f t="shared" ca="1" si="65"/>
        <v>5.7299999999999631</v>
      </c>
      <c r="D177" s="306">
        <f t="shared" ca="1" si="66"/>
        <v>11.435935755256722</v>
      </c>
      <c r="E177" s="307">
        <f t="shared" ca="1" si="67"/>
        <v>67.233696006860825</v>
      </c>
      <c r="F177" s="304">
        <f t="shared" ca="1" si="68"/>
        <v>68.199343877645418</v>
      </c>
      <c r="G177" s="306">
        <f t="shared" ca="1" si="69"/>
        <v>42.288353530792769</v>
      </c>
      <c r="H177" s="307">
        <f t="shared" ca="1" si="70"/>
        <v>284.79778642183834</v>
      </c>
      <c r="I177" s="304">
        <f t="shared" ca="1" si="71"/>
        <v>287.92027367853825</v>
      </c>
      <c r="J177" s="306">
        <f t="shared" ca="1" si="72"/>
        <v>95.981690873919803</v>
      </c>
      <c r="K177" s="307">
        <f t="shared" ca="1" si="73"/>
        <v>723.97860963163907</v>
      </c>
      <c r="L177" s="304">
        <f t="shared" ca="1" si="58"/>
        <v>730.31329728218554</v>
      </c>
      <c r="M177" s="306">
        <f t="shared" ca="1" si="74"/>
        <v>1.4233878402592364</v>
      </c>
      <c r="N177" s="304">
        <f t="shared" ca="1" si="75"/>
        <v>81.554115857095653</v>
      </c>
      <c r="P177" s="310">
        <f t="shared" ca="1" si="76"/>
        <v>5</v>
      </c>
      <c r="Q177" s="304">
        <f t="shared" ca="1" si="77"/>
        <v>626.15000000000532</v>
      </c>
      <c r="R177" s="306">
        <f t="shared" ca="1" si="78"/>
        <v>0.3142355115941281</v>
      </c>
      <c r="S177" s="307">
        <f t="shared" ca="1" si="79"/>
        <v>6.0404905950339325</v>
      </c>
      <c r="T177" s="304">
        <f t="shared" ca="1" si="59"/>
        <v>59.257212737282877</v>
      </c>
      <c r="U177" s="311">
        <f t="shared" ca="1" si="60"/>
        <v>0</v>
      </c>
      <c r="V177" s="306">
        <f t="shared" ca="1" si="61"/>
        <v>1.1394108558009635</v>
      </c>
      <c r="W177" s="304">
        <f t="shared" ca="1" si="62"/>
        <v>156.36476977780214</v>
      </c>
      <c r="Y177" s="314" t="str">
        <f t="shared" ca="1" si="80"/>
        <v/>
      </c>
      <c r="Z177" s="315" t="str">
        <f t="shared" ca="1" si="81"/>
        <v/>
      </c>
      <c r="AA177" s="316" t="str">
        <f t="shared" ca="1" si="82"/>
        <v/>
      </c>
      <c r="AC177" s="310" t="e">
        <f t="shared" ca="1" si="83"/>
        <v>#N/A</v>
      </c>
      <c r="AD177" s="323" t="e">
        <f t="shared" ca="1" si="84"/>
        <v>#N/A</v>
      </c>
      <c r="AE177" s="324">
        <f t="shared" ca="1" si="63"/>
        <v>723.97860963163907</v>
      </c>
      <c r="AG177" s="306">
        <f t="shared" ca="1" si="85"/>
        <v>68.184132076741591</v>
      </c>
      <c r="AH177" s="304">
        <f t="shared" ca="1" si="86"/>
        <v>77.887814971251714</v>
      </c>
    </row>
    <row r="178" spans="1:34" x14ac:dyDescent="0.2">
      <c r="A178" s="347">
        <f t="shared" ca="1" si="64"/>
        <v>0.01</v>
      </c>
      <c r="B178" s="304">
        <f t="shared" ca="1" si="65"/>
        <v>5.7399999999999629</v>
      </c>
      <c r="D178" s="306">
        <f t="shared" ca="1" si="66"/>
        <v>11.393294703947301</v>
      </c>
      <c r="E178" s="307">
        <f t="shared" ca="1" si="67"/>
        <v>66.919993977493448</v>
      </c>
      <c r="F178" s="304">
        <f t="shared" ca="1" si="68"/>
        <v>67.882934218835544</v>
      </c>
      <c r="G178" s="306">
        <f t="shared" ca="1" si="69"/>
        <v>42.402286477832241</v>
      </c>
      <c r="H178" s="307">
        <f t="shared" ca="1" si="70"/>
        <v>285.46698636161329</v>
      </c>
      <c r="I178" s="304">
        <f t="shared" ca="1" si="71"/>
        <v>288.59895045015264</v>
      </c>
      <c r="J178" s="306">
        <f t="shared" ca="1" si="72"/>
        <v>96.40514407396293</v>
      </c>
      <c r="K178" s="307">
        <f t="shared" ca="1" si="73"/>
        <v>726.82993349555636</v>
      </c>
      <c r="L178" s="304">
        <f t="shared" ca="1" si="58"/>
        <v>733.1955428322492</v>
      </c>
      <c r="M178" s="306">
        <f t="shared" ca="1" si="74"/>
        <v>1.4233379147170171</v>
      </c>
      <c r="N178" s="304">
        <f t="shared" ca="1" si="75"/>
        <v>81.551255334236586</v>
      </c>
      <c r="P178" s="310">
        <f t="shared" ca="1" si="76"/>
        <v>5</v>
      </c>
      <c r="Q178" s="304">
        <f t="shared" ca="1" si="77"/>
        <v>624.6900000000054</v>
      </c>
      <c r="R178" s="306">
        <f t="shared" ca="1" si="78"/>
        <v>0.31350280561804023</v>
      </c>
      <c r="S178" s="307">
        <f t="shared" ca="1" si="79"/>
        <v>6.0373555669777517</v>
      </c>
      <c r="T178" s="304">
        <f t="shared" ca="1" si="59"/>
        <v>59.226458112051745</v>
      </c>
      <c r="U178" s="311">
        <f t="shared" ca="1" si="60"/>
        <v>0</v>
      </c>
      <c r="V178" s="306">
        <f t="shared" ca="1" si="61"/>
        <v>1.1390855913433073</v>
      </c>
      <c r="W178" s="304">
        <f t="shared" ca="1" si="62"/>
        <v>157.0579472861493</v>
      </c>
      <c r="Y178" s="314" t="str">
        <f t="shared" ca="1" si="80"/>
        <v/>
      </c>
      <c r="Z178" s="315" t="str">
        <f t="shared" ca="1" si="81"/>
        <v/>
      </c>
      <c r="AA178" s="316" t="str">
        <f t="shared" ca="1" si="82"/>
        <v/>
      </c>
      <c r="AC178" s="310" t="e">
        <f t="shared" ca="1" si="83"/>
        <v>#N/A</v>
      </c>
      <c r="AD178" s="323" t="e">
        <f t="shared" ca="1" si="84"/>
        <v>#N/A</v>
      </c>
      <c r="AE178" s="324">
        <f t="shared" ca="1" si="63"/>
        <v>726.82993349555636</v>
      </c>
      <c r="AG178" s="306">
        <f t="shared" ca="1" si="85"/>
        <v>67.867641193932641</v>
      </c>
      <c r="AH178" s="304">
        <f t="shared" ca="1" si="86"/>
        <v>77.571252020301799</v>
      </c>
    </row>
    <row r="179" spans="1:34" x14ac:dyDescent="0.2">
      <c r="A179" s="347">
        <f t="shared" ca="1" si="64"/>
        <v>0.01</v>
      </c>
      <c r="B179" s="304">
        <f t="shared" ca="1" si="65"/>
        <v>5.7499999999999627</v>
      </c>
      <c r="D179" s="306">
        <f t="shared" ca="1" si="66"/>
        <v>11.350606193627552</v>
      </c>
      <c r="E179" s="307">
        <f t="shared" ca="1" si="67"/>
        <v>66.606241024320653</v>
      </c>
      <c r="F179" s="304">
        <f t="shared" ca="1" si="68"/>
        <v>67.56646804704765</v>
      </c>
      <c r="G179" s="306">
        <f t="shared" ca="1" si="69"/>
        <v>42.515792539768519</v>
      </c>
      <c r="H179" s="307">
        <f t="shared" ca="1" si="70"/>
        <v>286.13304877185652</v>
      </c>
      <c r="I179" s="304">
        <f t="shared" ca="1" si="71"/>
        <v>289.2744617396466</v>
      </c>
      <c r="J179" s="306">
        <f t="shared" ca="1" si="72"/>
        <v>96.829734469050933</v>
      </c>
      <c r="K179" s="307">
        <f t="shared" ca="1" si="73"/>
        <v>729.68793367122373</v>
      </c>
      <c r="L179" s="304">
        <f t="shared" ca="1" si="58"/>
        <v>736.08455901664388</v>
      </c>
      <c r="M179" s="306">
        <f t="shared" ca="1" si="74"/>
        <v>1.4232880890132171</v>
      </c>
      <c r="N179" s="304">
        <f t="shared" ca="1" si="75"/>
        <v>81.548400531697581</v>
      </c>
      <c r="P179" s="310">
        <f t="shared" ca="1" si="76"/>
        <v>5</v>
      </c>
      <c r="Q179" s="304">
        <f t="shared" ca="1" si="77"/>
        <v>623.23000000000548</v>
      </c>
      <c r="R179" s="306">
        <f t="shared" ca="1" si="78"/>
        <v>0.3127700996419524</v>
      </c>
      <c r="S179" s="307">
        <f t="shared" ca="1" si="79"/>
        <v>6.0342278659813324</v>
      </c>
      <c r="T179" s="304">
        <f t="shared" ca="1" si="59"/>
        <v>59.195775365276873</v>
      </c>
      <c r="U179" s="311">
        <f t="shared" ca="1" si="60"/>
        <v>0</v>
      </c>
      <c r="V179" s="306">
        <f t="shared" ca="1" si="61"/>
        <v>1.1387596550794825</v>
      </c>
      <c r="W179" s="304">
        <f t="shared" ca="1" si="62"/>
        <v>157.74889451692846</v>
      </c>
      <c r="Y179" s="314" t="str">
        <f t="shared" ca="1" si="80"/>
        <v/>
      </c>
      <c r="Z179" s="315" t="str">
        <f t="shared" ca="1" si="81"/>
        <v/>
      </c>
      <c r="AA179" s="316" t="str">
        <f t="shared" ca="1" si="82"/>
        <v/>
      </c>
      <c r="AC179" s="310" t="e">
        <f t="shared" ca="1" si="83"/>
        <v>#N/A</v>
      </c>
      <c r="AD179" s="323" t="e">
        <f t="shared" ca="1" si="84"/>
        <v>#N/A</v>
      </c>
      <c r="AE179" s="324">
        <f t="shared" ca="1" si="63"/>
        <v>729.68793367122373</v>
      </c>
      <c r="AG179" s="306">
        <f t="shared" ca="1" si="85"/>
        <v>67.551093041741908</v>
      </c>
      <c r="AH179" s="304">
        <f t="shared" ca="1" si="86"/>
        <v>77.254631921004474</v>
      </c>
    </row>
    <row r="180" spans="1:34" x14ac:dyDescent="0.2">
      <c r="A180" s="347">
        <f t="shared" ca="1" si="64"/>
        <v>0.01</v>
      </c>
      <c r="B180" s="304">
        <f t="shared" ca="1" si="65"/>
        <v>5.7599999999999625</v>
      </c>
      <c r="D180" s="306">
        <f t="shared" ca="1" si="66"/>
        <v>11.30787113241351</v>
      </c>
      <c r="E180" s="307">
        <f t="shared" ca="1" si="67"/>
        <v>66.292442150414189</v>
      </c>
      <c r="F180" s="304">
        <f t="shared" ca="1" si="68"/>
        <v>67.249950452125105</v>
      </c>
      <c r="G180" s="306">
        <f t="shared" ca="1" si="69"/>
        <v>42.628871251092654</v>
      </c>
      <c r="H180" s="307">
        <f t="shared" ca="1" si="70"/>
        <v>286.79597319336068</v>
      </c>
      <c r="I180" s="304">
        <f t="shared" ca="1" si="71"/>
        <v>289.94680702513193</v>
      </c>
      <c r="J180" s="306">
        <f t="shared" ca="1" si="72"/>
        <v>97.255457788005245</v>
      </c>
      <c r="K180" s="307">
        <f t="shared" ca="1" si="73"/>
        <v>732.55257878104987</v>
      </c>
      <c r="L180" s="304">
        <f t="shared" ca="1" si="58"/>
        <v>738.98031418186019</v>
      </c>
      <c r="M180" s="306">
        <f t="shared" ca="1" si="74"/>
        <v>1.4232383621732008</v>
      </c>
      <c r="N180" s="304">
        <f t="shared" ca="1" si="75"/>
        <v>81.545551393636117</v>
      </c>
      <c r="P180" s="310">
        <f t="shared" ca="1" si="76"/>
        <v>5</v>
      </c>
      <c r="Q180" s="304">
        <f t="shared" ca="1" si="77"/>
        <v>621.77000000000544</v>
      </c>
      <c r="R180" s="306">
        <f t="shared" ca="1" si="78"/>
        <v>0.31203739366586453</v>
      </c>
      <c r="S180" s="307">
        <f t="shared" ca="1" si="79"/>
        <v>6.0311074920446739</v>
      </c>
      <c r="T180" s="304">
        <f t="shared" ca="1" si="59"/>
        <v>59.165164496958255</v>
      </c>
      <c r="U180" s="311">
        <f t="shared" ca="1" si="60"/>
        <v>0</v>
      </c>
      <c r="V180" s="306">
        <f t="shared" ca="1" si="61"/>
        <v>1.1384330511791185</v>
      </c>
      <c r="W180" s="304">
        <f t="shared" ca="1" si="62"/>
        <v>158.43758747162167</v>
      </c>
      <c r="Y180" s="314" t="str">
        <f t="shared" ca="1" si="80"/>
        <v/>
      </c>
      <c r="Z180" s="315" t="str">
        <f t="shared" ca="1" si="81"/>
        <v/>
      </c>
      <c r="AA180" s="316" t="str">
        <f t="shared" ca="1" si="82"/>
        <v/>
      </c>
      <c r="AC180" s="310" t="e">
        <f t="shared" ca="1" si="83"/>
        <v>#N/A</v>
      </c>
      <c r="AD180" s="323" t="e">
        <f t="shared" ca="1" si="84"/>
        <v>#N/A</v>
      </c>
      <c r="AE180" s="324">
        <f t="shared" ca="1" si="63"/>
        <v>732.55257878104987</v>
      </c>
      <c r="AG180" s="306">
        <f t="shared" ca="1" si="85"/>
        <v>67.234492700108447</v>
      </c>
      <c r="AH180" s="304">
        <f t="shared" ca="1" si="86"/>
        <v>76.937959752026231</v>
      </c>
    </row>
    <row r="181" spans="1:34" x14ac:dyDescent="0.2">
      <c r="A181" s="347">
        <f t="shared" ca="1" si="64"/>
        <v>0.01</v>
      </c>
      <c r="B181" s="304">
        <f t="shared" ca="1" si="65"/>
        <v>5.7699999999999623</v>
      </c>
      <c r="D181" s="306">
        <f t="shared" ca="1" si="66"/>
        <v>11.265090424008903</v>
      </c>
      <c r="E181" s="307">
        <f t="shared" ca="1" si="67"/>
        <v>65.978602335606737</v>
      </c>
      <c r="F181" s="304">
        <f t="shared" ca="1" si="68"/>
        <v>66.933386500469467</v>
      </c>
      <c r="G181" s="306">
        <f t="shared" ca="1" si="69"/>
        <v>42.741522155332746</v>
      </c>
      <c r="H181" s="307">
        <f t="shared" ca="1" si="70"/>
        <v>287.45575921671673</v>
      </c>
      <c r="I181" s="304">
        <f t="shared" ca="1" si="71"/>
        <v>290.61598583528371</v>
      </c>
      <c r="J181" s="306">
        <f t="shared" ca="1" si="72"/>
        <v>97.682309755037366</v>
      </c>
      <c r="K181" s="307">
        <f t="shared" ca="1" si="73"/>
        <v>735.4238374431003</v>
      </c>
      <c r="L181" s="304">
        <f t="shared" ca="1" si="58"/>
        <v>741.88277666934334</v>
      </c>
      <c r="M181" s="306">
        <f t="shared" ca="1" si="74"/>
        <v>1.4231887332319215</v>
      </c>
      <c r="N181" s="304">
        <f t="shared" ca="1" si="75"/>
        <v>81.542707864759109</v>
      </c>
      <c r="P181" s="310">
        <f t="shared" ca="1" si="76"/>
        <v>5</v>
      </c>
      <c r="Q181" s="304">
        <f t="shared" ca="1" si="77"/>
        <v>620.31000000000552</v>
      </c>
      <c r="R181" s="306">
        <f t="shared" ca="1" si="78"/>
        <v>0.3113046876897767</v>
      </c>
      <c r="S181" s="307">
        <f t="shared" ca="1" si="79"/>
        <v>6.027994445167776</v>
      </c>
      <c r="T181" s="304">
        <f t="shared" ca="1" si="59"/>
        <v>59.134625507095883</v>
      </c>
      <c r="U181" s="311">
        <f t="shared" ca="1" si="60"/>
        <v>0</v>
      </c>
      <c r="V181" s="306">
        <f t="shared" ca="1" si="61"/>
        <v>1.1381057838093473</v>
      </c>
      <c r="W181" s="304">
        <f t="shared" ca="1" si="62"/>
        <v>159.12400236000269</v>
      </c>
      <c r="Y181" s="314" t="str">
        <f t="shared" ca="1" si="80"/>
        <v/>
      </c>
      <c r="Z181" s="315" t="str">
        <f t="shared" ca="1" si="81"/>
        <v/>
      </c>
      <c r="AA181" s="316" t="str">
        <f t="shared" ca="1" si="82"/>
        <v/>
      </c>
      <c r="AC181" s="310" t="e">
        <f t="shared" ca="1" si="83"/>
        <v>#N/A</v>
      </c>
      <c r="AD181" s="323" t="e">
        <f t="shared" ca="1" si="84"/>
        <v>#N/A</v>
      </c>
      <c r="AE181" s="324">
        <f t="shared" ca="1" si="63"/>
        <v>735.4238374431003</v>
      </c>
      <c r="AG181" s="306">
        <f t="shared" ca="1" si="85"/>
        <v>66.917845225359883</v>
      </c>
      <c r="AH181" s="304">
        <f t="shared" ca="1" si="86"/>
        <v>76.621240568433976</v>
      </c>
    </row>
    <row r="182" spans="1:34" x14ac:dyDescent="0.2">
      <c r="A182" s="347">
        <f t="shared" ca="1" si="64"/>
        <v>0.01</v>
      </c>
      <c r="B182" s="304">
        <f t="shared" ca="1" si="65"/>
        <v>5.7799999999999621</v>
      </c>
      <c r="D182" s="306">
        <f t="shared" ca="1" si="66"/>
        <v>11.222264967694983</v>
      </c>
      <c r="E182" s="307">
        <f t="shared" ca="1" si="67"/>
        <v>65.66472653632286</v>
      </c>
      <c r="F182" s="304">
        <f t="shared" ca="1" si="68"/>
        <v>66.616781234875177</v>
      </c>
      <c r="G182" s="306">
        <f t="shared" ca="1" si="69"/>
        <v>42.853744805009697</v>
      </c>
      <c r="H182" s="307">
        <f t="shared" ca="1" si="70"/>
        <v>288.11240648207996</v>
      </c>
      <c r="I182" s="304">
        <f t="shared" ca="1" si="71"/>
        <v>291.28199774910252</v>
      </c>
      <c r="J182" s="306">
        <f t="shared" ca="1" si="72"/>
        <v>98.110286089839079</v>
      </c>
      <c r="K182" s="307">
        <f t="shared" ca="1" si="73"/>
        <v>738.30167827159426</v>
      </c>
      <c r="L182" s="304">
        <f t="shared" ca="1" si="58"/>
        <v>744.79191481599935</v>
      </c>
      <c r="M182" s="306">
        <f t="shared" ca="1" si="74"/>
        <v>1.4231392012337825</v>
      </c>
      <c r="N182" s="304">
        <f t="shared" ca="1" si="75"/>
        <v>81.53986989031489</v>
      </c>
      <c r="P182" s="310">
        <f t="shared" ca="1" si="76"/>
        <v>5</v>
      </c>
      <c r="Q182" s="304">
        <f t="shared" ca="1" si="77"/>
        <v>618.85000000000548</v>
      </c>
      <c r="R182" s="306">
        <f t="shared" ca="1" si="78"/>
        <v>0.31057198171368877</v>
      </c>
      <c r="S182" s="307">
        <f t="shared" ca="1" si="79"/>
        <v>6.0248887253506389</v>
      </c>
      <c r="T182" s="304">
        <f t="shared" ca="1" si="59"/>
        <v>59.104158395689772</v>
      </c>
      <c r="U182" s="311">
        <f t="shared" ca="1" si="60"/>
        <v>0</v>
      </c>
      <c r="V182" s="306">
        <f t="shared" ca="1" si="61"/>
        <v>1.1377778571347237</v>
      </c>
      <c r="W182" s="304">
        <f t="shared" ca="1" si="62"/>
        <v>159.80811560039874</v>
      </c>
      <c r="Y182" s="314" t="str">
        <f t="shared" ca="1" si="80"/>
        <v/>
      </c>
      <c r="Z182" s="315" t="str">
        <f t="shared" ca="1" si="81"/>
        <v/>
      </c>
      <c r="AA182" s="316" t="str">
        <f t="shared" ca="1" si="82"/>
        <v/>
      </c>
      <c r="AC182" s="310" t="e">
        <f t="shared" ca="1" si="83"/>
        <v>#N/A</v>
      </c>
      <c r="AD182" s="323" t="e">
        <f t="shared" ca="1" si="84"/>
        <v>#N/A</v>
      </c>
      <c r="AE182" s="324">
        <f t="shared" ca="1" si="63"/>
        <v>738.30167827159426</v>
      </c>
      <c r="AG182" s="306">
        <f t="shared" ca="1" si="85"/>
        <v>66.601155650043353</v>
      </c>
      <c r="AH182" s="304">
        <f t="shared" ca="1" si="86"/>
        <v>76.304479401525782</v>
      </c>
    </row>
    <row r="183" spans="1:34" x14ac:dyDescent="0.2">
      <c r="A183" s="347">
        <f t="shared" ca="1" si="64"/>
        <v>0.01</v>
      </c>
      <c r="B183" s="304">
        <f t="shared" ca="1" si="65"/>
        <v>5.7899999999999618</v>
      </c>
      <c r="D183" s="306">
        <f t="shared" ca="1" si="66"/>
        <v>11.179395658320532</v>
      </c>
      <c r="E183" s="307">
        <f t="shared" ca="1" si="67"/>
        <v>65.350819685413114</v>
      </c>
      <c r="F183" s="304">
        <f t="shared" ca="1" si="68"/>
        <v>66.300139674367614</v>
      </c>
      <c r="G183" s="306">
        <f t="shared" ca="1" si="69"/>
        <v>42.965538761592903</v>
      </c>
      <c r="H183" s="307">
        <f t="shared" ca="1" si="70"/>
        <v>288.76591467893411</v>
      </c>
      <c r="I183" s="304">
        <f t="shared" ca="1" si="71"/>
        <v>291.94484239567481</v>
      </c>
      <c r="J183" s="306">
        <f t="shared" ca="1" si="72"/>
        <v>98.539382507672087</v>
      </c>
      <c r="K183" s="307">
        <f t="shared" ca="1" si="73"/>
        <v>741.18606987739929</v>
      </c>
      <c r="L183" s="304">
        <f t="shared" ca="1" si="58"/>
        <v>747.70769695469789</v>
      </c>
      <c r="M183" s="306">
        <f t="shared" ca="1" si="74"/>
        <v>1.423089765232501</v>
      </c>
      <c r="N183" s="304">
        <f t="shared" ca="1" si="75"/>
        <v>81.537037416085468</v>
      </c>
      <c r="P183" s="310">
        <f t="shared" ca="1" si="76"/>
        <v>5</v>
      </c>
      <c r="Q183" s="304">
        <f t="shared" ca="1" si="77"/>
        <v>617.39000000000556</v>
      </c>
      <c r="R183" s="306">
        <f t="shared" ca="1" si="78"/>
        <v>0.30983927573760095</v>
      </c>
      <c r="S183" s="307">
        <f t="shared" ca="1" si="79"/>
        <v>6.0217903325932625</v>
      </c>
      <c r="T183" s="304">
        <f t="shared" ca="1" si="59"/>
        <v>59.073763162739908</v>
      </c>
      <c r="U183" s="311">
        <f t="shared" ca="1" si="60"/>
        <v>0</v>
      </c>
      <c r="V183" s="306">
        <f t="shared" ca="1" si="61"/>
        <v>1.1374492753171486</v>
      </c>
      <c r="W183" s="304">
        <f t="shared" ca="1" si="62"/>
        <v>160.48990381993346</v>
      </c>
      <c r="Y183" s="314" t="str">
        <f t="shared" ca="1" si="80"/>
        <v/>
      </c>
      <c r="Z183" s="315" t="str">
        <f t="shared" ca="1" si="81"/>
        <v/>
      </c>
      <c r="AA183" s="316" t="str">
        <f t="shared" ca="1" si="82"/>
        <v/>
      </c>
      <c r="AC183" s="310" t="e">
        <f t="shared" ca="1" si="83"/>
        <v>#N/A</v>
      </c>
      <c r="AD183" s="323" t="e">
        <f t="shared" ca="1" si="84"/>
        <v>#N/A</v>
      </c>
      <c r="AE183" s="324">
        <f t="shared" ca="1" si="63"/>
        <v>741.18606987739929</v>
      </c>
      <c r="AG183" s="306">
        <f t="shared" ca="1" si="85"/>
        <v>66.284428982759707</v>
      </c>
      <c r="AH183" s="304">
        <f t="shared" ca="1" si="86"/>
        <v>75.987681258664949</v>
      </c>
    </row>
    <row r="184" spans="1:34" x14ac:dyDescent="0.2">
      <c r="A184" s="347">
        <f t="shared" ca="1" si="64"/>
        <v>0.01</v>
      </c>
      <c r="B184" s="304">
        <f t="shared" ca="1" si="65"/>
        <v>5.7999999999999616</v>
      </c>
      <c r="D184" s="306">
        <f t="shared" ca="1" si="66"/>
        <v>11.136483386291744</v>
      </c>
      <c r="E184" s="307">
        <f t="shared" ca="1" si="67"/>
        <v>65.036886691991</v>
      </c>
      <c r="F184" s="304">
        <f t="shared" ca="1" si="68"/>
        <v>65.983466814043865</v>
      </c>
      <c r="G184" s="306">
        <f t="shared" ca="1" si="69"/>
        <v>43.076903595455818</v>
      </c>
      <c r="H184" s="307">
        <f t="shared" ca="1" si="70"/>
        <v>289.41628354585401</v>
      </c>
      <c r="I184" s="304">
        <f t="shared" ca="1" si="71"/>
        <v>292.6045194539318</v>
      </c>
      <c r="J184" s="306">
        <f t="shared" ca="1" si="72"/>
        <v>98.969594719457334</v>
      </c>
      <c r="K184" s="307">
        <f t="shared" ca="1" si="73"/>
        <v>744.07698086852326</v>
      </c>
      <c r="L184" s="304">
        <f t="shared" ca="1" si="58"/>
        <v>750.63009141477289</v>
      </c>
      <c r="M184" s="306">
        <f t="shared" ca="1" si="74"/>
        <v>1.4230404242909731</v>
      </c>
      <c r="N184" s="304">
        <f t="shared" ca="1" si="75"/>
        <v>81.53421038837871</v>
      </c>
      <c r="P184" s="310">
        <f t="shared" ca="1" si="76"/>
        <v>5</v>
      </c>
      <c r="Q184" s="304">
        <f t="shared" ca="1" si="77"/>
        <v>615.93000000000563</v>
      </c>
      <c r="R184" s="306">
        <f t="shared" ca="1" si="78"/>
        <v>0.30910656976151313</v>
      </c>
      <c r="S184" s="307">
        <f t="shared" ca="1" si="79"/>
        <v>6.0186992668956476</v>
      </c>
      <c r="T184" s="304">
        <f t="shared" ca="1" si="59"/>
        <v>59.043439808246305</v>
      </c>
      <c r="U184" s="311">
        <f t="shared" ca="1" si="60"/>
        <v>0</v>
      </c>
      <c r="V184" s="306">
        <f t="shared" ca="1" si="61"/>
        <v>1.1371200425157915</v>
      </c>
      <c r="W184" s="304">
        <f t="shared" ca="1" si="62"/>
        <v>161.16934385475162</v>
      </c>
      <c r="Y184" s="314" t="str">
        <f t="shared" ca="1" si="80"/>
        <v/>
      </c>
      <c r="Z184" s="315" t="str">
        <f t="shared" ca="1" si="81"/>
        <v/>
      </c>
      <c r="AA184" s="316" t="str">
        <f t="shared" ca="1" si="82"/>
        <v/>
      </c>
      <c r="AC184" s="310" t="e">
        <f t="shared" ca="1" si="83"/>
        <v>#N/A</v>
      </c>
      <c r="AD184" s="323" t="e">
        <f t="shared" ca="1" si="84"/>
        <v>#N/A</v>
      </c>
      <c r="AE184" s="324">
        <f t="shared" ca="1" si="63"/>
        <v>744.07698086852326</v>
      </c>
      <c r="AG184" s="306">
        <f t="shared" ca="1" si="85"/>
        <v>65.967670208000399</v>
      </c>
      <c r="AH184" s="304">
        <f t="shared" ca="1" si="86"/>
        <v>75.670851123116691</v>
      </c>
    </row>
    <row r="185" spans="1:34" x14ac:dyDescent="0.2">
      <c r="A185" s="347">
        <f t="shared" ca="1" si="64"/>
        <v>0.01</v>
      </c>
      <c r="B185" s="304">
        <f t="shared" ca="1" si="65"/>
        <v>5.8099999999999614</v>
      </c>
      <c r="D185" s="306">
        <f t="shared" ca="1" si="66"/>
        <v>11.093529037562472</v>
      </c>
      <c r="E185" s="307">
        <f t="shared" ca="1" si="67"/>
        <v>64.722932441273116</v>
      </c>
      <c r="F185" s="304">
        <f t="shared" ca="1" si="68"/>
        <v>65.666767624916986</v>
      </c>
      <c r="G185" s="306">
        <f t="shared" ca="1" si="69"/>
        <v>43.187838885831439</v>
      </c>
      <c r="H185" s="307">
        <f t="shared" ca="1" si="70"/>
        <v>290.06351287026672</v>
      </c>
      <c r="I185" s="304">
        <f t="shared" ca="1" si="71"/>
        <v>293.26102865240705</v>
      </c>
      <c r="J185" s="306">
        <f t="shared" ca="1" si="72"/>
        <v>99.400918431863772</v>
      </c>
      <c r="K185" s="307">
        <f t="shared" ca="1" si="73"/>
        <v>746.9743798506039</v>
      </c>
      <c r="L185" s="304">
        <f t="shared" ca="1" si="58"/>
        <v>753.55906652252042</v>
      </c>
      <c r="M185" s="306">
        <f t="shared" ca="1" si="74"/>
        <v>1.4229911774811441</v>
      </c>
      <c r="N185" s="304">
        <f t="shared" ca="1" si="75"/>
        <v>81.531388754021023</v>
      </c>
      <c r="P185" s="310">
        <f t="shared" ca="1" si="76"/>
        <v>5</v>
      </c>
      <c r="Q185" s="304">
        <f t="shared" ca="1" si="77"/>
        <v>614.4700000000056</v>
      </c>
      <c r="R185" s="306">
        <f t="shared" ca="1" si="78"/>
        <v>0.30837386378542525</v>
      </c>
      <c r="S185" s="307">
        <f t="shared" ca="1" si="79"/>
        <v>6.0156155282577934</v>
      </c>
      <c r="T185" s="304">
        <f t="shared" ca="1" si="59"/>
        <v>59.013188332208955</v>
      </c>
      <c r="U185" s="311">
        <f t="shared" ca="1" si="60"/>
        <v>0</v>
      </c>
      <c r="V185" s="306">
        <f t="shared" ca="1" si="61"/>
        <v>1.1367901628870112</v>
      </c>
      <c r="W185" s="304">
        <f t="shared" ca="1" si="62"/>
        <v>161.84641275022531</v>
      </c>
      <c r="Y185" s="314" t="str">
        <f t="shared" ca="1" si="80"/>
        <v/>
      </c>
      <c r="Z185" s="315" t="str">
        <f t="shared" ca="1" si="81"/>
        <v/>
      </c>
      <c r="AA185" s="316" t="str">
        <f t="shared" ca="1" si="82"/>
        <v/>
      </c>
      <c r="AC185" s="310" t="e">
        <f t="shared" ca="1" si="83"/>
        <v>#N/A</v>
      </c>
      <c r="AD185" s="323" t="e">
        <f t="shared" ca="1" si="84"/>
        <v>#N/A</v>
      </c>
      <c r="AE185" s="324">
        <f t="shared" ca="1" si="63"/>
        <v>746.9743798506039</v>
      </c>
      <c r="AG185" s="306">
        <f t="shared" ca="1" si="85"/>
        <v>65.650884285987729</v>
      </c>
      <c r="AH185" s="304">
        <f t="shared" ca="1" si="86"/>
        <v>75.353993953888235</v>
      </c>
    </row>
    <row r="186" spans="1:34" x14ac:dyDescent="0.2">
      <c r="A186" s="347">
        <f t="shared" ca="1" si="64"/>
        <v>0.01</v>
      </c>
      <c r="B186" s="304">
        <f t="shared" ca="1" si="65"/>
        <v>5.8199999999999612</v>
      </c>
      <c r="D186" s="306">
        <f t="shared" ca="1" si="66"/>
        <v>11.050533493624245</v>
      </c>
      <c r="E186" s="307">
        <f t="shared" ca="1" si="67"/>
        <v>64.408961794422325</v>
      </c>
      <c r="F186" s="304">
        <f t="shared" ca="1" si="68"/>
        <v>65.35004705376322</v>
      </c>
      <c r="G186" s="306">
        <f t="shared" ca="1" si="69"/>
        <v>43.298344220767682</v>
      </c>
      <c r="H186" s="307">
        <f t="shared" ca="1" si="70"/>
        <v>290.70760248821097</v>
      </c>
      <c r="I186" s="304">
        <f t="shared" ca="1" si="71"/>
        <v>293.914369768992</v>
      </c>
      <c r="J186" s="306">
        <f t="shared" ca="1" si="72"/>
        <v>99.833349347396762</v>
      </c>
      <c r="K186" s="307">
        <f t="shared" ca="1" si="73"/>
        <v>749.87823542739625</v>
      </c>
      <c r="L186" s="304">
        <f t="shared" ca="1" si="58"/>
        <v>756.4945906016942</v>
      </c>
      <c r="M186" s="306">
        <f t="shared" ca="1" si="74"/>
        <v>1.4229420238838766</v>
      </c>
      <c r="N186" s="304">
        <f t="shared" ca="1" si="75"/>
        <v>81.528572460349707</v>
      </c>
      <c r="P186" s="310">
        <f t="shared" ca="1" si="76"/>
        <v>5</v>
      </c>
      <c r="Q186" s="304">
        <f t="shared" ca="1" si="77"/>
        <v>613.01000000000568</v>
      </c>
      <c r="R186" s="306">
        <f t="shared" ca="1" si="78"/>
        <v>0.30764115780933737</v>
      </c>
      <c r="S186" s="307">
        <f t="shared" ca="1" si="79"/>
        <v>6.0125391166797</v>
      </c>
      <c r="T186" s="304">
        <f t="shared" ca="1" si="59"/>
        <v>58.983008734627859</v>
      </c>
      <c r="U186" s="311">
        <f t="shared" ca="1" si="60"/>
        <v>0</v>
      </c>
      <c r="V186" s="306">
        <f t="shared" ca="1" si="61"/>
        <v>1.1364596405842822</v>
      </c>
      <c r="W186" s="304">
        <f t="shared" ca="1" si="62"/>
        <v>162.52108776114244</v>
      </c>
      <c r="Y186" s="314" t="str">
        <f t="shared" ca="1" si="80"/>
        <v/>
      </c>
      <c r="Z186" s="315" t="str">
        <f t="shared" ca="1" si="81"/>
        <v/>
      </c>
      <c r="AA186" s="316" t="str">
        <f t="shared" ca="1" si="82"/>
        <v/>
      </c>
      <c r="AC186" s="310" t="e">
        <f t="shared" ca="1" si="83"/>
        <v>#N/A</v>
      </c>
      <c r="AD186" s="323" t="e">
        <f t="shared" ca="1" si="84"/>
        <v>#N/A</v>
      </c>
      <c r="AE186" s="324">
        <f t="shared" ca="1" si="63"/>
        <v>749.87823542739625</v>
      </c>
      <c r="AG186" s="306">
        <f t="shared" ca="1" si="85"/>
        <v>65.334076152517795</v>
      </c>
      <c r="AH186" s="304">
        <f t="shared" ca="1" si="86"/>
        <v>75.037114685571652</v>
      </c>
    </row>
    <row r="187" spans="1:34" x14ac:dyDescent="0.2">
      <c r="A187" s="347">
        <f t="shared" ca="1" si="64"/>
        <v>0.01</v>
      </c>
      <c r="B187" s="304">
        <f t="shared" ca="1" si="65"/>
        <v>5.829999999999961</v>
      </c>
      <c r="D187" s="306">
        <f t="shared" ca="1" si="66"/>
        <v>11.007497631496729</v>
      </c>
      <c r="E187" s="307">
        <f t="shared" ca="1" si="67"/>
        <v>64.094979588393628</v>
      </c>
      <c r="F187" s="304">
        <f t="shared" ca="1" si="68"/>
        <v>65.033310022972088</v>
      </c>
      <c r="G187" s="306">
        <f t="shared" ca="1" si="69"/>
        <v>43.408419197082651</v>
      </c>
      <c r="H187" s="307">
        <f t="shared" ca="1" si="70"/>
        <v>291.34855228409492</v>
      </c>
      <c r="I187" s="304">
        <f t="shared" ca="1" si="71"/>
        <v>294.56454263069008</v>
      </c>
      <c r="J187" s="306">
        <f t="shared" ca="1" si="72"/>
        <v>100.26688316448602</v>
      </c>
      <c r="K187" s="307">
        <f t="shared" ca="1" si="73"/>
        <v>752.78851620125783</v>
      </c>
      <c r="L187" s="304">
        <f t="shared" ca="1" si="58"/>
        <v>759.43663197399962</v>
      </c>
      <c r="M187" s="306">
        <f t="shared" ca="1" si="74"/>
        <v>1.4228929625888249</v>
      </c>
      <c r="N187" s="304">
        <f t="shared" ca="1" si="75"/>
        <v>81.52576145520581</v>
      </c>
      <c r="P187" s="310">
        <f t="shared" ca="1" si="76"/>
        <v>5</v>
      </c>
      <c r="Q187" s="304">
        <f t="shared" ca="1" si="77"/>
        <v>611.55000000000564</v>
      </c>
      <c r="R187" s="306">
        <f t="shared" ca="1" si="78"/>
        <v>0.3069084518332495</v>
      </c>
      <c r="S187" s="307">
        <f t="shared" ca="1" si="79"/>
        <v>6.0094700321613672</v>
      </c>
      <c r="T187" s="304">
        <f t="shared" ca="1" si="59"/>
        <v>58.952901015503016</v>
      </c>
      <c r="U187" s="311">
        <f t="shared" ca="1" si="60"/>
        <v>0</v>
      </c>
      <c r="V187" s="306">
        <f t="shared" ca="1" si="61"/>
        <v>1.1361284797581179</v>
      </c>
      <c r="W187" s="304">
        <f t="shared" ca="1" si="62"/>
        <v>163.19334635187624</v>
      </c>
      <c r="Y187" s="314" t="str">
        <f t="shared" ca="1" si="80"/>
        <v/>
      </c>
      <c r="Z187" s="315" t="str">
        <f t="shared" ca="1" si="81"/>
        <v/>
      </c>
      <c r="AA187" s="316" t="str">
        <f t="shared" ca="1" si="82"/>
        <v/>
      </c>
      <c r="AC187" s="310" t="e">
        <f t="shared" ca="1" si="83"/>
        <v>#N/A</v>
      </c>
      <c r="AD187" s="323" t="e">
        <f t="shared" ca="1" si="84"/>
        <v>#N/A</v>
      </c>
      <c r="AE187" s="324">
        <f t="shared" ca="1" si="63"/>
        <v>752.78851620125783</v>
      </c>
      <c r="AG187" s="306">
        <f t="shared" ca="1" si="85"/>
        <v>65.017250718806523</v>
      </c>
      <c r="AH187" s="304">
        <f t="shared" ca="1" si="86"/>
        <v>74.720218228189651</v>
      </c>
    </row>
    <row r="188" spans="1:34" x14ac:dyDescent="0.2">
      <c r="A188" s="347">
        <f t="shared" ca="1" si="64"/>
        <v>0.01</v>
      </c>
      <c r="B188" s="304">
        <f t="shared" ca="1" si="65"/>
        <v>5.8399999999999608</v>
      </c>
      <c r="D188" s="306">
        <f t="shared" ca="1" si="66"/>
        <v>10.964422323718054</v>
      </c>
      <c r="E188" s="307">
        <f t="shared" ca="1" si="67"/>
        <v>63.780990635783382</v>
      </c>
      <c r="F188" s="304">
        <f t="shared" ca="1" si="68"/>
        <v>64.716561430399977</v>
      </c>
      <c r="G188" s="306">
        <f t="shared" ca="1" si="69"/>
        <v>43.518063420319834</v>
      </c>
      <c r="H188" s="307">
        <f t="shared" ca="1" si="70"/>
        <v>291.98636219045278</v>
      </c>
      <c r="I188" s="304">
        <f t="shared" ca="1" si="71"/>
        <v>295.21154711336965</v>
      </c>
      <c r="J188" s="306">
        <f t="shared" ca="1" si="72"/>
        <v>100.70151557757303</v>
      </c>
      <c r="K188" s="307">
        <f t="shared" ca="1" si="73"/>
        <v>755.70519077363053</v>
      </c>
      <c r="L188" s="304">
        <f t="shared" ca="1" si="58"/>
        <v>762.38515895958358</v>
      </c>
      <c r="M188" s="306">
        <f t="shared" ca="1" si="74"/>
        <v>1.4228439926943093</v>
      </c>
      <c r="N188" s="304">
        <f t="shared" ca="1" si="75"/>
        <v>81.522955686926863</v>
      </c>
      <c r="P188" s="310">
        <f t="shared" ca="1" si="76"/>
        <v>5</v>
      </c>
      <c r="Q188" s="304">
        <f t="shared" ca="1" si="77"/>
        <v>610.09000000000572</v>
      </c>
      <c r="R188" s="306">
        <f t="shared" ca="1" si="78"/>
        <v>0.30617574585716167</v>
      </c>
      <c r="S188" s="307">
        <f t="shared" ca="1" si="79"/>
        <v>6.006408274702796</v>
      </c>
      <c r="T188" s="304">
        <f t="shared" ca="1" si="59"/>
        <v>58.922865174834435</v>
      </c>
      <c r="U188" s="311">
        <f t="shared" ca="1" si="60"/>
        <v>0</v>
      </c>
      <c r="V188" s="306">
        <f t="shared" ca="1" si="61"/>
        <v>1.135796684555993</v>
      </c>
      <c r="W188" s="304">
        <f t="shared" ca="1" si="62"/>
        <v>163.86316619653741</v>
      </c>
      <c r="Y188" s="314" t="str">
        <f t="shared" ca="1" si="80"/>
        <v/>
      </c>
      <c r="Z188" s="315" t="str">
        <f t="shared" ca="1" si="81"/>
        <v/>
      </c>
      <c r="AA188" s="316" t="str">
        <f t="shared" ca="1" si="82"/>
        <v/>
      </c>
      <c r="AC188" s="310" t="e">
        <f t="shared" ca="1" si="83"/>
        <v>#N/A</v>
      </c>
      <c r="AD188" s="323" t="e">
        <f t="shared" ca="1" si="84"/>
        <v>#N/A</v>
      </c>
      <c r="AE188" s="324">
        <f t="shared" ca="1" si="63"/>
        <v>755.70519077363053</v>
      </c>
      <c r="AG188" s="306">
        <f t="shared" ca="1" si="85"/>
        <v>64.700412871338742</v>
      </c>
      <c r="AH188" s="304">
        <f t="shared" ca="1" si="86"/>
        <v>74.403309467044579</v>
      </c>
    </row>
    <row r="189" spans="1:34" x14ac:dyDescent="0.2">
      <c r="A189" s="347">
        <f t="shared" ca="1" si="64"/>
        <v>0.01</v>
      </c>
      <c r="B189" s="304">
        <f t="shared" ca="1" si="65"/>
        <v>5.8499999999999606</v>
      </c>
      <c r="D189" s="306">
        <f t="shared" ca="1" si="66"/>
        <v>10.921308438335403</v>
      </c>
      <c r="E189" s="307">
        <f t="shared" ca="1" si="67"/>
        <v>63.466999724681472</v>
      </c>
      <c r="F189" s="304">
        <f t="shared" ca="1" si="68"/>
        <v>64.399806149226677</v>
      </c>
      <c r="G189" s="306">
        <f t="shared" ca="1" si="69"/>
        <v>43.62727650470319</v>
      </c>
      <c r="H189" s="307">
        <f t="shared" ca="1" si="70"/>
        <v>292.6210321876996</v>
      </c>
      <c r="I189" s="304">
        <f t="shared" ca="1" si="71"/>
        <v>295.85538314151484</v>
      </c>
      <c r="J189" s="306">
        <f t="shared" ca="1" si="72"/>
        <v>101.13724227719815</v>
      </c>
      <c r="K189" s="307">
        <f t="shared" ca="1" si="73"/>
        <v>758.62822774552126</v>
      </c>
      <c r="L189" s="304">
        <f t="shared" ca="1" si="58"/>
        <v>765.34013987752348</v>
      </c>
      <c r="M189" s="306">
        <f t="shared" ca="1" si="74"/>
        <v>1.4227951133071939</v>
      </c>
      <c r="N189" s="304">
        <f t="shared" ca="1" si="75"/>
        <v>81.520155104339963</v>
      </c>
      <c r="P189" s="310">
        <f t="shared" ca="1" si="76"/>
        <v>5</v>
      </c>
      <c r="Q189" s="304">
        <f t="shared" ca="1" si="77"/>
        <v>608.63000000000579</v>
      </c>
      <c r="R189" s="306">
        <f t="shared" ca="1" si="78"/>
        <v>0.3054430398810738</v>
      </c>
      <c r="S189" s="307">
        <f t="shared" ca="1" si="79"/>
        <v>6.0033538443039856</v>
      </c>
      <c r="T189" s="304">
        <f t="shared" ca="1" si="59"/>
        <v>58.8929012126221</v>
      </c>
      <c r="U189" s="311">
        <f t="shared" ca="1" si="60"/>
        <v>0</v>
      </c>
      <c r="V189" s="306">
        <f t="shared" ca="1" si="61"/>
        <v>1.1354642591222714</v>
      </c>
      <c r="W189" s="304">
        <f t="shared" ca="1" si="62"/>
        <v>164.53052517910808</v>
      </c>
      <c r="Y189" s="314" t="str">
        <f t="shared" ca="1" si="80"/>
        <v/>
      </c>
      <c r="Z189" s="315" t="str">
        <f t="shared" ca="1" si="81"/>
        <v/>
      </c>
      <c r="AA189" s="316" t="str">
        <f t="shared" ca="1" si="82"/>
        <v/>
      </c>
      <c r="AC189" s="310" t="e">
        <f t="shared" ca="1" si="83"/>
        <v>#N/A</v>
      </c>
      <c r="AD189" s="323" t="e">
        <f t="shared" ca="1" si="84"/>
        <v>#N/A</v>
      </c>
      <c r="AE189" s="324">
        <f t="shared" ca="1" si="63"/>
        <v>758.62822774552126</v>
      </c>
      <c r="AG189" s="306">
        <f t="shared" ca="1" si="85"/>
        <v>64.383567471720283</v>
      </c>
      <c r="AH189" s="304">
        <f t="shared" ca="1" si="86"/>
        <v>74.086393262570311</v>
      </c>
    </row>
    <row r="190" spans="1:34" x14ac:dyDescent="0.2">
      <c r="A190" s="347">
        <f t="shared" ca="1" si="64"/>
        <v>0.01</v>
      </c>
      <c r="B190" s="304">
        <f t="shared" ca="1" si="65"/>
        <v>5.8599999999999604</v>
      </c>
      <c r="D190" s="306">
        <f t="shared" ca="1" si="66"/>
        <v>10.878156838895597</v>
      </c>
      <c r="E190" s="307">
        <f t="shared" ca="1" si="67"/>
        <v>63.153011618526151</v>
      </c>
      <c r="F190" s="304">
        <f t="shared" ca="1" si="68"/>
        <v>64.083049027814766</v>
      </c>
      <c r="G190" s="306">
        <f t="shared" ca="1" si="69"/>
        <v>43.736058073092146</v>
      </c>
      <c r="H190" s="307">
        <f t="shared" ca="1" si="70"/>
        <v>293.25256230388487</v>
      </c>
      <c r="I190" s="304">
        <f t="shared" ca="1" si="71"/>
        <v>296.49605068797587</v>
      </c>
      <c r="J190" s="306">
        <f t="shared" ca="1" si="72"/>
        <v>101.57405895008714</v>
      </c>
      <c r="K190" s="307">
        <f t="shared" ca="1" si="73"/>
        <v>761.55759571797921</v>
      </c>
      <c r="L190" s="304">
        <f t="shared" ca="1" si="58"/>
        <v>768.30154304631253</v>
      </c>
      <c r="M190" s="306">
        <f t="shared" ca="1" si="74"/>
        <v>1.4227463235427649</v>
      </c>
      <c r="N190" s="304">
        <f t="shared" ca="1" si="75"/>
        <v>81.517359656754735</v>
      </c>
      <c r="P190" s="310">
        <f t="shared" ca="1" si="76"/>
        <v>5</v>
      </c>
      <c r="Q190" s="304">
        <f t="shared" ca="1" si="77"/>
        <v>607.17000000000576</v>
      </c>
      <c r="R190" s="306">
        <f t="shared" ca="1" si="78"/>
        <v>0.30471033390498592</v>
      </c>
      <c r="S190" s="307">
        <f t="shared" ca="1" si="79"/>
        <v>6.0003067409649358</v>
      </c>
      <c r="T190" s="304">
        <f t="shared" ca="1" si="59"/>
        <v>58.863009128866025</v>
      </c>
      <c r="U190" s="311">
        <f t="shared" ca="1" si="60"/>
        <v>0</v>
      </c>
      <c r="V190" s="306">
        <f t="shared" ca="1" si="61"/>
        <v>1.1351312075981299</v>
      </c>
      <c r="W190" s="304">
        <f t="shared" ca="1" si="62"/>
        <v>165.19540139355868</v>
      </c>
      <c r="Y190" s="314" t="str">
        <f t="shared" ca="1" si="80"/>
        <v/>
      </c>
      <c r="Z190" s="315" t="str">
        <f t="shared" ca="1" si="81"/>
        <v/>
      </c>
      <c r="AA190" s="316" t="str">
        <f t="shared" ca="1" si="82"/>
        <v/>
      </c>
      <c r="AC190" s="310" t="e">
        <f t="shared" ca="1" si="83"/>
        <v>#N/A</v>
      </c>
      <c r="AD190" s="323" t="e">
        <f t="shared" ca="1" si="84"/>
        <v>#N/A</v>
      </c>
      <c r="AE190" s="324">
        <f t="shared" ca="1" si="63"/>
        <v>761.55759571797921</v>
      </c>
      <c r="AG190" s="306">
        <f t="shared" ca="1" si="85"/>
        <v>64.066719356532857</v>
      </c>
      <c r="AH190" s="304">
        <f t="shared" ca="1" si="86"/>
        <v>73.769474450187005</v>
      </c>
    </row>
    <row r="191" spans="1:34" x14ac:dyDescent="0.2">
      <c r="A191" s="347">
        <f t="shared" ca="1" si="64"/>
        <v>0.01</v>
      </c>
      <c r="B191" s="304">
        <f t="shared" ca="1" si="65"/>
        <v>5.8699999999999601</v>
      </c>
      <c r="D191" s="306">
        <f t="shared" ca="1" si="66"/>
        <v>10.834968384435998</v>
      </c>
      <c r="E191" s="307">
        <f t="shared" ca="1" si="67"/>
        <v>62.839031055962295</v>
      </c>
      <c r="F191" s="304">
        <f t="shared" ca="1" si="68"/>
        <v>63.766294889572514</v>
      </c>
      <c r="G191" s="306">
        <f t="shared" ca="1" si="69"/>
        <v>43.844407756936505</v>
      </c>
      <c r="H191" s="307">
        <f t="shared" ca="1" si="70"/>
        <v>293.88095261444448</v>
      </c>
      <c r="I191" s="304">
        <f t="shared" ca="1" si="71"/>
        <v>297.13354977371688</v>
      </c>
      <c r="J191" s="306">
        <f t="shared" ca="1" si="72"/>
        <v>102.01196127923728</v>
      </c>
      <c r="K191" s="307">
        <f t="shared" ca="1" si="73"/>
        <v>764.49326329257087</v>
      </c>
      <c r="L191" s="304">
        <f t="shared" ca="1" si="58"/>
        <v>771.2693367843433</v>
      </c>
      <c r="M191" s="306">
        <f t="shared" ca="1" si="74"/>
        <v>1.422697622524612</v>
      </c>
      <c r="N191" s="304">
        <f t="shared" ca="1" si="75"/>
        <v>81.514569293956583</v>
      </c>
      <c r="P191" s="310">
        <f t="shared" ca="1" si="76"/>
        <v>5</v>
      </c>
      <c r="Q191" s="304">
        <f t="shared" ca="1" si="77"/>
        <v>605.71000000000583</v>
      </c>
      <c r="R191" s="306">
        <f t="shared" ca="1" si="78"/>
        <v>0.3039776279288981</v>
      </c>
      <c r="S191" s="307">
        <f t="shared" ca="1" si="79"/>
        <v>5.9972669646856467</v>
      </c>
      <c r="T191" s="304">
        <f t="shared" ca="1" si="59"/>
        <v>58.833188923566198</v>
      </c>
      <c r="U191" s="311">
        <f t="shared" ca="1" si="60"/>
        <v>0</v>
      </c>
      <c r="V191" s="306">
        <f t="shared" ca="1" si="61"/>
        <v>1.1347975341214853</v>
      </c>
      <c r="W191" s="304">
        <f t="shared" ca="1" si="62"/>
        <v>165.85777314394613</v>
      </c>
      <c r="Y191" s="314" t="str">
        <f t="shared" ca="1" si="80"/>
        <v/>
      </c>
      <c r="Z191" s="315" t="str">
        <f t="shared" ca="1" si="81"/>
        <v/>
      </c>
      <c r="AA191" s="316" t="str">
        <f t="shared" ca="1" si="82"/>
        <v/>
      </c>
      <c r="AC191" s="310" t="e">
        <f t="shared" ca="1" si="83"/>
        <v>#N/A</v>
      </c>
      <c r="AD191" s="323" t="e">
        <f t="shared" ca="1" si="84"/>
        <v>#N/A</v>
      </c>
      <c r="AE191" s="324">
        <f t="shared" ca="1" si="63"/>
        <v>764.49326329257087</v>
      </c>
      <c r="AG191" s="306">
        <f t="shared" ca="1" si="85"/>
        <v>63.749873337192092</v>
      </c>
      <c r="AH191" s="304">
        <f t="shared" ca="1" si="86"/>
        <v>73.452557840158988</v>
      </c>
    </row>
    <row r="192" spans="1:34" x14ac:dyDescent="0.2">
      <c r="A192" s="347">
        <f t="shared" ca="1" si="64"/>
        <v>0.01</v>
      </c>
      <c r="B192" s="304">
        <f t="shared" ca="1" si="65"/>
        <v>5.8799999999999599</v>
      </c>
      <c r="D192" s="306">
        <f t="shared" ca="1" si="66"/>
        <v>10.791743929475393</v>
      </c>
      <c r="E192" s="307">
        <f t="shared" ca="1" si="67"/>
        <v>62.525062750702219</v>
      </c>
      <c r="F192" s="304">
        <f t="shared" ca="1" si="68"/>
        <v>63.449548532819513</v>
      </c>
      <c r="G192" s="306">
        <f t="shared" ca="1" si="69"/>
        <v>43.952325196231257</v>
      </c>
      <c r="H192" s="307">
        <f t="shared" ca="1" si="70"/>
        <v>294.50620324195148</v>
      </c>
      <c r="I192" s="304">
        <f t="shared" ca="1" si="71"/>
        <v>297.76788046756303</v>
      </c>
      <c r="J192" s="306">
        <f t="shared" ca="1" si="72"/>
        <v>102.45094494400313</v>
      </c>
      <c r="K192" s="307">
        <f t="shared" ca="1" si="73"/>
        <v>767.43519907185282</v>
      </c>
      <c r="L192" s="304">
        <f t="shared" ca="1" si="58"/>
        <v>774.24348941038807</v>
      </c>
      <c r="M192" s="306">
        <f t="shared" ca="1" si="74"/>
        <v>1.4226490093845123</v>
      </c>
      <c r="N192" s="304">
        <f t="shared" ca="1" si="75"/>
        <v>81.511783966199999</v>
      </c>
      <c r="P192" s="310">
        <f t="shared" ca="1" si="76"/>
        <v>5</v>
      </c>
      <c r="Q192" s="304">
        <f t="shared" ca="1" si="77"/>
        <v>604.2500000000058</v>
      </c>
      <c r="R192" s="306">
        <f t="shared" ca="1" si="78"/>
        <v>0.30324492195281022</v>
      </c>
      <c r="S192" s="307">
        <f t="shared" ca="1" si="79"/>
        <v>5.9942345154661183</v>
      </c>
      <c r="T192" s="304">
        <f t="shared" ca="1" si="59"/>
        <v>58.803440596722623</v>
      </c>
      <c r="U192" s="311">
        <f t="shared" ca="1" si="60"/>
        <v>0</v>
      </c>
      <c r="V192" s="306">
        <f t="shared" ca="1" si="61"/>
        <v>1.1344632428269201</v>
      </c>
      <c r="W192" s="304">
        <f t="shared" ca="1" si="62"/>
        <v>166.51761894449524</v>
      </c>
      <c r="Y192" s="314" t="str">
        <f t="shared" ca="1" si="80"/>
        <v/>
      </c>
      <c r="Z192" s="315" t="str">
        <f t="shared" ca="1" si="81"/>
        <v/>
      </c>
      <c r="AA192" s="316" t="str">
        <f t="shared" ca="1" si="82"/>
        <v/>
      </c>
      <c r="AC192" s="310" t="e">
        <f t="shared" ca="1" si="83"/>
        <v>#N/A</v>
      </c>
      <c r="AD192" s="323" t="e">
        <f t="shared" ca="1" si="84"/>
        <v>#N/A</v>
      </c>
      <c r="AE192" s="324">
        <f t="shared" ca="1" si="63"/>
        <v>767.43519907185282</v>
      </c>
      <c r="AG192" s="306">
        <f t="shared" ca="1" si="85"/>
        <v>63.43303419980839</v>
      </c>
      <c r="AH192" s="304">
        <f t="shared" ca="1" si="86"/>
        <v>73.135648217455469</v>
      </c>
    </row>
    <row r="193" spans="1:34" x14ac:dyDescent="0.2">
      <c r="A193" s="347">
        <f t="shared" ca="1" si="64"/>
        <v>0.01</v>
      </c>
      <c r="B193" s="304">
        <f t="shared" ca="1" si="65"/>
        <v>5.8899999999999597</v>
      </c>
      <c r="D193" s="306">
        <f t="shared" ca="1" si="66"/>
        <v>10.748484324005069</v>
      </c>
      <c r="E193" s="307">
        <f t="shared" ca="1" si="67"/>
        <v>62.211111391389906</v>
      </c>
      <c r="F193" s="304">
        <f t="shared" ca="1" si="68"/>
        <v>63.132814730655767</v>
      </c>
      <c r="G193" s="306">
        <f t="shared" ca="1" si="69"/>
        <v>44.059810039471309</v>
      </c>
      <c r="H193" s="307">
        <f t="shared" ca="1" si="70"/>
        <v>295.12831435586537</v>
      </c>
      <c r="I193" s="304">
        <f t="shared" ca="1" si="71"/>
        <v>298.39904288594624</v>
      </c>
      <c r="J193" s="306">
        <f t="shared" ca="1" si="72"/>
        <v>102.89100562018164</v>
      </c>
      <c r="K193" s="307">
        <f t="shared" ca="1" si="73"/>
        <v>770.38337165984194</v>
      </c>
      <c r="L193" s="304">
        <f t="shared" ca="1" si="58"/>
        <v>777.22396924407735</v>
      </c>
      <c r="M193" s="306">
        <f t="shared" ca="1" si="74"/>
        <v>1.4226004832623154</v>
      </c>
      <c r="N193" s="304">
        <f t="shared" ca="1" si="75"/>
        <v>81.509003624201981</v>
      </c>
      <c r="P193" s="310">
        <f t="shared" ca="1" si="76"/>
        <v>5</v>
      </c>
      <c r="Q193" s="304">
        <f t="shared" ca="1" si="77"/>
        <v>602.79000000000588</v>
      </c>
      <c r="R193" s="306">
        <f t="shared" ca="1" si="78"/>
        <v>0.30251221597672234</v>
      </c>
      <c r="S193" s="307">
        <f t="shared" ca="1" si="79"/>
        <v>5.9912093933063515</v>
      </c>
      <c r="T193" s="304">
        <f t="shared" ca="1" si="59"/>
        <v>58.77376414833531</v>
      </c>
      <c r="U193" s="311">
        <f t="shared" ca="1" si="60"/>
        <v>0</v>
      </c>
      <c r="V193" s="306">
        <f t="shared" ca="1" si="61"/>
        <v>1.1341283378456111</v>
      </c>
      <c r="W193" s="304">
        <f t="shared" ca="1" si="62"/>
        <v>167.17491751966287</v>
      </c>
      <c r="Y193" s="314" t="str">
        <f t="shared" ca="1" si="80"/>
        <v/>
      </c>
      <c r="Z193" s="315" t="str">
        <f t="shared" ca="1" si="81"/>
        <v/>
      </c>
      <c r="AA193" s="316" t="str">
        <f t="shared" ca="1" si="82"/>
        <v/>
      </c>
      <c r="AC193" s="310" t="e">
        <f t="shared" ca="1" si="83"/>
        <v>#N/A</v>
      </c>
      <c r="AD193" s="323" t="e">
        <f t="shared" ca="1" si="84"/>
        <v>#N/A</v>
      </c>
      <c r="AE193" s="324">
        <f t="shared" ca="1" si="63"/>
        <v>770.38337165984194</v>
      </c>
      <c r="AG193" s="306">
        <f t="shared" ca="1" si="85"/>
        <v>63.116206705050999</v>
      </c>
      <c r="AH193" s="304">
        <f t="shared" ca="1" si="86"/>
        <v>72.818750341614461</v>
      </c>
    </row>
    <row r="194" spans="1:34" x14ac:dyDescent="0.2">
      <c r="A194" s="347">
        <f t="shared" ca="1" si="64"/>
        <v>0.01</v>
      </c>
      <c r="B194" s="304">
        <f t="shared" ca="1" si="65"/>
        <v>5.8999999999999595</v>
      </c>
      <c r="D194" s="306">
        <f t="shared" ca="1" si="66"/>
        <v>10.705190413480032</v>
      </c>
      <c r="E194" s="307">
        <f t="shared" ca="1" si="67"/>
        <v>61.897181641467654</v>
      </c>
      <c r="F194" s="304">
        <f t="shared" ca="1" si="68"/>
        <v>62.816098230833354</v>
      </c>
      <c r="G194" s="306">
        <f t="shared" ca="1" si="69"/>
        <v>44.166861943606108</v>
      </c>
      <c r="H194" s="307">
        <f t="shared" ca="1" si="70"/>
        <v>295.74728617228004</v>
      </c>
      <c r="I194" s="304">
        <f t="shared" ca="1" si="71"/>
        <v>299.02703719264929</v>
      </c>
      <c r="J194" s="306">
        <f t="shared" ca="1" si="72"/>
        <v>103.33213898009703</v>
      </c>
      <c r="K194" s="307">
        <f t="shared" ca="1" si="73"/>
        <v>773.33774966248268</v>
      </c>
      <c r="L194" s="304">
        <f t="shared" ca="1" si="58"/>
        <v>780.21074460637544</v>
      </c>
      <c r="M194" s="306">
        <f t="shared" ca="1" si="74"/>
        <v>1.4225520433058298</v>
      </c>
      <c r="N194" s="304">
        <f t="shared" ca="1" si="75"/>
        <v>81.506228219135565</v>
      </c>
      <c r="P194" s="310">
        <f t="shared" ca="1" si="76"/>
        <v>5</v>
      </c>
      <c r="Q194" s="304">
        <f t="shared" ca="1" si="77"/>
        <v>601.33000000000584</v>
      </c>
      <c r="R194" s="306">
        <f t="shared" ca="1" si="78"/>
        <v>0.30177951000063447</v>
      </c>
      <c r="S194" s="307">
        <f t="shared" ca="1" si="79"/>
        <v>5.9881915982063454</v>
      </c>
      <c r="T194" s="304">
        <f t="shared" ca="1" si="59"/>
        <v>58.744159578404251</v>
      </c>
      <c r="U194" s="311">
        <f t="shared" ca="1" si="60"/>
        <v>0</v>
      </c>
      <c r="V194" s="306">
        <f t="shared" ca="1" si="61"/>
        <v>1.1337928233052552</v>
      </c>
      <c r="W194" s="304">
        <f t="shared" ca="1" si="62"/>
        <v>167.82964780418419</v>
      </c>
      <c r="Y194" s="314" t="str">
        <f t="shared" ca="1" si="80"/>
        <v/>
      </c>
      <c r="Z194" s="315" t="str">
        <f t="shared" ca="1" si="81"/>
        <v/>
      </c>
      <c r="AA194" s="316" t="str">
        <f t="shared" ca="1" si="82"/>
        <v/>
      </c>
      <c r="AC194" s="310" t="e">
        <f t="shared" ca="1" si="83"/>
        <v>#N/A</v>
      </c>
      <c r="AD194" s="323" t="e">
        <f t="shared" ca="1" si="84"/>
        <v>#N/A</v>
      </c>
      <c r="AE194" s="324">
        <f t="shared" ca="1" si="63"/>
        <v>773.33774966248268</v>
      </c>
      <c r="AG194" s="306">
        <f t="shared" ca="1" si="85"/>
        <v>62.799395588014576</v>
      </c>
      <c r="AH194" s="304">
        <f t="shared" ca="1" si="86"/>
        <v>72.501868946609235</v>
      </c>
    </row>
    <row r="195" spans="1:34" x14ac:dyDescent="0.2">
      <c r="A195" s="347">
        <f t="shared" ca="1" si="64"/>
        <v>0.01</v>
      </c>
      <c r="B195" s="304">
        <f t="shared" ca="1" si="65"/>
        <v>5.9099999999999593</v>
      </c>
      <c r="D195" s="306">
        <f t="shared" ca="1" si="66"/>
        <v>10.661863038810434</v>
      </c>
      <c r="E195" s="307">
        <f t="shared" ca="1" si="67"/>
        <v>61.5832781390462</v>
      </c>
      <c r="F195" s="304">
        <f t="shared" ca="1" si="68"/>
        <v>62.499403755631761</v>
      </c>
      <c r="G195" s="306">
        <f t="shared" ca="1" si="69"/>
        <v>44.273480573994213</v>
      </c>
      <c r="H195" s="307">
        <f t="shared" ca="1" si="70"/>
        <v>296.36311895367049</v>
      </c>
      <c r="I195" s="304">
        <f t="shared" ca="1" si="71"/>
        <v>299.6518635985488</v>
      </c>
      <c r="J195" s="306">
        <f t="shared" ca="1" si="72"/>
        <v>103.77434069268503</v>
      </c>
      <c r="K195" s="307">
        <f t="shared" ca="1" si="73"/>
        <v>776.29830168811247</v>
      </c>
      <c r="L195" s="304">
        <f t="shared" ca="1" si="58"/>
        <v>783.20378382005356</v>
      </c>
      <c r="M195" s="306">
        <f t="shared" ca="1" si="74"/>
        <v>1.4225036886707125</v>
      </c>
      <c r="N195" s="304">
        <f t="shared" ca="1" si="75"/>
        <v>81.50345770262345</v>
      </c>
      <c r="P195" s="310">
        <f t="shared" ca="1" si="76"/>
        <v>5</v>
      </c>
      <c r="Q195" s="304">
        <f t="shared" ca="1" si="77"/>
        <v>599.87000000000592</v>
      </c>
      <c r="R195" s="306">
        <f t="shared" ca="1" si="78"/>
        <v>0.30104680402454664</v>
      </c>
      <c r="S195" s="307">
        <f t="shared" ca="1" si="79"/>
        <v>5.9851811301661</v>
      </c>
      <c r="T195" s="304">
        <f t="shared" ca="1" si="59"/>
        <v>58.714626886929445</v>
      </c>
      <c r="U195" s="311">
        <f t="shared" ca="1" si="60"/>
        <v>0</v>
      </c>
      <c r="V195" s="306">
        <f t="shared" ca="1" si="61"/>
        <v>1.1334567033299989</v>
      </c>
      <c r="W195" s="304">
        <f t="shared" ca="1" si="62"/>
        <v>168.48178894310246</v>
      </c>
      <c r="Y195" s="314" t="str">
        <f t="shared" ca="1" si="80"/>
        <v/>
      </c>
      <c r="Z195" s="315" t="str">
        <f t="shared" ca="1" si="81"/>
        <v/>
      </c>
      <c r="AA195" s="316" t="str">
        <f t="shared" ca="1" si="82"/>
        <v/>
      </c>
      <c r="AC195" s="310" t="e">
        <f t="shared" ca="1" si="83"/>
        <v>#N/A</v>
      </c>
      <c r="AD195" s="323" t="e">
        <f t="shared" ca="1" si="84"/>
        <v>#N/A</v>
      </c>
      <c r="AE195" s="324">
        <f t="shared" ca="1" si="63"/>
        <v>776.29830168811247</v>
      </c>
      <c r="AG195" s="306">
        <f t="shared" ca="1" si="85"/>
        <v>62.482605558089261</v>
      </c>
      <c r="AH195" s="304">
        <f t="shared" ca="1" si="86"/>
        <v>72.185008740718217</v>
      </c>
    </row>
    <row r="196" spans="1:34" x14ac:dyDescent="0.2">
      <c r="A196" s="347">
        <f t="shared" ca="1" si="64"/>
        <v>0.01</v>
      </c>
      <c r="B196" s="304">
        <f t="shared" ca="1" si="65"/>
        <v>5.9199999999999591</v>
      </c>
      <c r="D196" s="306">
        <f t="shared" ca="1" si="66"/>
        <v>10.618503036353129</v>
      </c>
      <c r="E196" s="307">
        <f t="shared" ca="1" si="67"/>
        <v>61.269405496777438</v>
      </c>
      <c r="F196" s="304">
        <f t="shared" ca="1" si="68"/>
        <v>62.182736001735897</v>
      </c>
      <c r="G196" s="306">
        <f t="shared" ca="1" si="69"/>
        <v>44.379665604357747</v>
      </c>
      <c r="H196" s="307">
        <f t="shared" ca="1" si="70"/>
        <v>296.97581300863828</v>
      </c>
      <c r="I196" s="304">
        <f t="shared" ca="1" si="71"/>
        <v>300.27352236135692</v>
      </c>
      <c r="J196" s="306">
        <f t="shared" ca="1" si="72"/>
        <v>104.2176064235768</v>
      </c>
      <c r="K196" s="307">
        <f t="shared" ca="1" si="73"/>
        <v>779.26499634792401</v>
      </c>
      <c r="L196" s="304">
        <f t="shared" ref="L196:L259" ca="1" si="87">SQRT(pos_x^2+pos_z^2)</f>
        <v>786.20305521015985</v>
      </c>
      <c r="M196" s="306">
        <f t="shared" ca="1" si="74"/>
        <v>1.4224554185203602</v>
      </c>
      <c r="N196" s="304">
        <f t="shared" ca="1" si="75"/>
        <v>81.500692026731798</v>
      </c>
      <c r="P196" s="310">
        <f t="shared" ca="1" si="76"/>
        <v>5</v>
      </c>
      <c r="Q196" s="304">
        <f t="shared" ca="1" si="77"/>
        <v>598.41000000000599</v>
      </c>
      <c r="R196" s="306">
        <f t="shared" ca="1" si="78"/>
        <v>0.30031409804845882</v>
      </c>
      <c r="S196" s="307">
        <f t="shared" ca="1" si="79"/>
        <v>5.9821779891856153</v>
      </c>
      <c r="T196" s="304">
        <f t="shared" ref="T196:T259" ca="1" si="88">m*g</f>
        <v>58.685166073910892</v>
      </c>
      <c r="U196" s="311">
        <f t="shared" ref="U196:U259" ca="1" si="89">IF(pos_xz&lt;L_rampe,Poids*COS(Beta),0)</f>
        <v>0</v>
      </c>
      <c r="V196" s="306">
        <f t="shared" ref="V196:V259" ca="1" si="90">Rho_moyen*(20000-Alt_rampe-pos_z)/(20000+Alt_rampe+pos_z)</f>
        <v>1.1331199820403675</v>
      </c>
      <c r="W196" s="304">
        <f t="shared" ref="W196:W259" ca="1" si="91">1/2*Rho*Sref*Cx*vit_xz^2</f>
        <v>169.13132029178144</v>
      </c>
      <c r="Y196" s="314" t="str">
        <f t="shared" ca="1" si="80"/>
        <v/>
      </c>
      <c r="Z196" s="315" t="str">
        <f t="shared" ca="1" si="81"/>
        <v/>
      </c>
      <c r="AA196" s="316" t="str">
        <f t="shared" ca="1" si="82"/>
        <v/>
      </c>
      <c r="AC196" s="310" t="e">
        <f t="shared" ca="1" si="83"/>
        <v>#N/A</v>
      </c>
      <c r="AD196" s="323" t="e">
        <f t="shared" ca="1" si="84"/>
        <v>#N/A</v>
      </c>
      <c r="AE196" s="324">
        <f t="shared" ref="AE196:AE259" ca="1" si="92">IF(t&lt;T_para, pos_z, NA())</f>
        <v>779.26499634792401</v>
      </c>
      <c r="AG196" s="306">
        <f t="shared" ca="1" si="85"/>
        <v>62.165841298833215</v>
      </c>
      <c r="AH196" s="304">
        <f t="shared" ca="1" si="86"/>
        <v>71.868174406397401</v>
      </c>
    </row>
    <row r="197" spans="1:34" x14ac:dyDescent="0.2">
      <c r="A197" s="347">
        <f t="shared" ref="A197:A260" ca="1" si="93">IF(B196+0.01&lt;=T_ini+ROUNDUP(Temps_fin_propu,0), 0.01, IF(K196&gt;0, 0.1, 0.0001))</f>
        <v>0.01</v>
      </c>
      <c r="B197" s="304">
        <f t="shared" ref="B197:B260" ca="1" si="94">B196+pas</f>
        <v>5.9299999999999589</v>
      </c>
      <c r="D197" s="306">
        <f t="shared" ref="D197:D260" ca="1" si="95">IF(AND(L196&lt;L_rampe,Poussee&lt;Poids*SIN(M196)),0,(-W196+Poussee)/m*COS(M196)-U196/m*SIN(M196))</f>
        <v>10.575111237903302</v>
      </c>
      <c r="E197" s="307">
        <f t="shared" ref="E197:E260" ca="1" si="96">IF(AND(L196&lt;L_rampe,Poussee&lt;Poids*SIN(M196)),0,(-W196+Poussee)/m*SIN(M196)+U196/m*COS(M196)-Poids/m)</f>
        <v>60.955568301730068</v>
      </c>
      <c r="F197" s="304">
        <f t="shared" ref="F197:F260" ca="1" si="97">SQRT(acc_x^2+acc_z^2)</f>
        <v>61.866099640117191</v>
      </c>
      <c r="G197" s="306">
        <f t="shared" ref="G197:G260" ca="1" si="98">G196+acc_x*pas</f>
        <v>44.485416716736779</v>
      </c>
      <c r="H197" s="307">
        <f t="shared" ref="H197:H260" ca="1" si="99">H196+acc_z*pas</f>
        <v>297.58536869165556</v>
      </c>
      <c r="I197" s="304">
        <f t="shared" ref="I197:I260" ca="1" si="100">SQRT(vit_x^2+vit_z^2)</f>
        <v>300.89201378536171</v>
      </c>
      <c r="J197" s="306">
        <f t="shared" ref="J197:J260" ca="1" si="101">J196+0.5*(vit_x+G196)*pas*(K196&gt;=0)</f>
        <v>104.66193183518227</v>
      </c>
      <c r="K197" s="307">
        <f t="shared" ref="K197:K260" ca="1" si="102">K196+0.5*(vit_z+H196)*pas</f>
        <v>782.23780225642543</v>
      </c>
      <c r="L197" s="304">
        <f t="shared" ca="1" si="87"/>
        <v>789.20852710448764</v>
      </c>
      <c r="M197" s="306">
        <f t="shared" ref="M197:M260" ca="1" si="103">IF(AND(L196&gt;L_rampe,G197&gt;0),ATAN2(G197,H197),$M$4)</f>
        <v>1.4224072320258014</v>
      </c>
      <c r="N197" s="304">
        <f t="shared" ref="N197:N260" ca="1" si="104">DEGREES(Beta)</f>
        <v>81.497931143964053</v>
      </c>
      <c r="P197" s="310">
        <f t="shared" ref="P197:P260" ca="1" si="105">MATCH(t-pas/2-T_ini,CdP_t)</f>
        <v>5</v>
      </c>
      <c r="Q197" s="304">
        <f t="shared" ref="Q197:Q260" ca="1" si="106">(INDEX(CdP,2,i_P+1)-INDEX(CdP,2,i_P+0))/(INDEX(CdP,1,i_P+1)-INDEX(CdP,1,i_P+0))*(t-pas/2-T_ini-INDEX(CdP,1,i_P+0))+INDEX(CdP,2,i_P+0)</f>
        <v>596.95000000000596</v>
      </c>
      <c r="R197" s="306">
        <f t="shared" ref="R197:R260" ca="1" si="107">Poussee/(g*ISP)</f>
        <v>0.29958139207237089</v>
      </c>
      <c r="S197" s="307">
        <f t="shared" ref="S197:S260" ca="1" si="108">S196-Débit*pas</f>
        <v>5.9791821752648913</v>
      </c>
      <c r="T197" s="304">
        <f t="shared" ca="1" si="88"/>
        <v>58.655777139348587</v>
      </c>
      <c r="U197" s="311">
        <f t="shared" ca="1" si="89"/>
        <v>0</v>
      </c>
      <c r="V197" s="306">
        <f t="shared" ca="1" si="90"/>
        <v>1.1327826635531923</v>
      </c>
      <c r="W197" s="304">
        <f t="shared" ca="1" si="91"/>
        <v>169.77822141590104</v>
      </c>
      <c r="Y197" s="314" t="str">
        <f t="shared" ref="Y197:Y260" ca="1" si="109">IF(AND(pos_z&lt;=0,K196&gt;0),"Impact balistique","") &amp; IF(AND(H198&lt;0,vit_z&gt;=0),"Apogée","") &amp; IF(AND(Poussee=0,Q196&gt;0),"Fin de propulsion","") &amp; IF(AND(L198&gt;L_rampe,pos_xz&lt;=L_rampe),"Sortie de rampe","")</f>
        <v/>
      </c>
      <c r="Z197" s="315" t="str">
        <f t="shared" ref="Z197:Z260" ca="1" si="110">IF(ABS(t-T_para)&lt;pas/2,"Para","")</f>
        <v/>
      </c>
      <c r="AA197" s="316" t="str">
        <f t="shared" ref="AA197:AA260" ca="1" si="111">IF(ABS(t-T_satellite)&lt;pas/2,"Satellite","")</f>
        <v/>
      </c>
      <c r="AC197" s="310" t="e">
        <f t="shared" ref="AC197:AC260" ca="1" si="112">IF(ABS(t-ROUND(t,0))&lt;0.001,t,NA())</f>
        <v>#N/A</v>
      </c>
      <c r="AD197" s="323" t="e">
        <f t="shared" ref="AD197:AD260" ca="1" si="113">IF(ABS(t-ROUND(t,0))&lt;0.001,pos_x,NA())</f>
        <v>#N/A</v>
      </c>
      <c r="AE197" s="324">
        <f t="shared" ca="1" si="92"/>
        <v>782.23780225642543</v>
      </c>
      <c r="AG197" s="306">
        <f t="shared" ref="AG197:AG260" ca="1" si="114">IF(AND(L196&lt;L_rampe,Poussee&lt;Poids*SIN(M196)),0,(-W196+Poussee)/m-Poids*SIN(M196)/m)</f>
        <v>61.84910746784827</v>
      </c>
      <c r="AH197" s="304">
        <f t="shared" ref="AH197:AH260" ca="1" si="115">IF(AND(L196&lt;L_rampe,Poussee&lt;Poids*SIN(M196)), g*SIN(M196), (-W196+Poussee)/m)</f>
        <v>71.551370600155892</v>
      </c>
    </row>
    <row r="198" spans="1:34" x14ac:dyDescent="0.2">
      <c r="A198" s="347">
        <f t="shared" ca="1" si="93"/>
        <v>0.01</v>
      </c>
      <c r="B198" s="304">
        <f t="shared" ca="1" si="94"/>
        <v>5.9399999999999586</v>
      </c>
      <c r="D198" s="306">
        <f t="shared" ca="1" si="95"/>
        <v>10.531688470686433</v>
      </c>
      <c r="E198" s="307">
        <f t="shared" ca="1" si="96"/>
        <v>60.641771115268554</v>
      </c>
      <c r="F198" s="304">
        <f t="shared" ca="1" si="97"/>
        <v>61.549499315918155</v>
      </c>
      <c r="G198" s="306">
        <f t="shared" ca="1" si="98"/>
        <v>44.590733601443645</v>
      </c>
      <c r="H198" s="307">
        <f t="shared" ca="1" si="99"/>
        <v>298.19178640280825</v>
      </c>
      <c r="I198" s="304">
        <f t="shared" ca="1" si="100"/>
        <v>301.50733822116655</v>
      </c>
      <c r="J198" s="306">
        <f t="shared" ca="1" si="101"/>
        <v>105.10731258677318</v>
      </c>
      <c r="K198" s="307">
        <f t="shared" ca="1" si="102"/>
        <v>785.21668803189777</v>
      </c>
      <c r="L198" s="304">
        <f t="shared" ca="1" si="87"/>
        <v>792.22016783404115</v>
      </c>
      <c r="M198" s="306">
        <f t="shared" ca="1" si="103"/>
        <v>1.422359128365591</v>
      </c>
      <c r="N198" s="304">
        <f t="shared" ca="1" si="104"/>
        <v>81.495175007254858</v>
      </c>
      <c r="P198" s="310">
        <f t="shared" ca="1" si="105"/>
        <v>5</v>
      </c>
      <c r="Q198" s="304">
        <f t="shared" ca="1" si="106"/>
        <v>595.49000000000603</v>
      </c>
      <c r="R198" s="306">
        <f t="shared" ca="1" si="107"/>
        <v>0.29884868609628307</v>
      </c>
      <c r="S198" s="307">
        <f t="shared" ca="1" si="108"/>
        <v>5.9761936884039288</v>
      </c>
      <c r="T198" s="304">
        <f t="shared" ca="1" si="88"/>
        <v>58.626460083242542</v>
      </c>
      <c r="U198" s="311">
        <f t="shared" ca="1" si="89"/>
        <v>0</v>
      </c>
      <c r="V198" s="306">
        <f t="shared" ca="1" si="90"/>
        <v>1.1324447519815437</v>
      </c>
      <c r="W198" s="304">
        <f t="shared" ca="1" si="91"/>
        <v>170.42247209143667</v>
      </c>
      <c r="Y198" s="314" t="str">
        <f t="shared" ca="1" si="109"/>
        <v/>
      </c>
      <c r="Z198" s="315" t="str">
        <f t="shared" ca="1" si="110"/>
        <v/>
      </c>
      <c r="AA198" s="316" t="str">
        <f t="shared" ca="1" si="111"/>
        <v/>
      </c>
      <c r="AC198" s="310" t="e">
        <f t="shared" ca="1" si="112"/>
        <v>#N/A</v>
      </c>
      <c r="AD198" s="323" t="e">
        <f t="shared" ca="1" si="113"/>
        <v>#N/A</v>
      </c>
      <c r="AE198" s="324">
        <f t="shared" ca="1" si="92"/>
        <v>785.21668803189777</v>
      </c>
      <c r="AG198" s="306">
        <f t="shared" ca="1" si="114"/>
        <v>61.532408696658642</v>
      </c>
      <c r="AH198" s="304">
        <f t="shared" ca="1" si="115"/>
        <v>71.23460195243446</v>
      </c>
    </row>
    <row r="199" spans="1:34" x14ac:dyDescent="0.2">
      <c r="A199" s="347">
        <f t="shared" ca="1" si="93"/>
        <v>0.01</v>
      </c>
      <c r="B199" s="304">
        <f t="shared" ca="1" si="94"/>
        <v>5.9499999999999584</v>
      </c>
      <c r="D199" s="306">
        <f t="shared" ca="1" si="95"/>
        <v>10.488235557350341</v>
      </c>
      <c r="E199" s="307">
        <f t="shared" ca="1" si="96"/>
        <v>60.328018472934389</v>
      </c>
      <c r="F199" s="304">
        <f t="shared" ca="1" si="97"/>
        <v>61.232939648339446</v>
      </c>
      <c r="G199" s="306">
        <f t="shared" ca="1" si="98"/>
        <v>44.695615957017147</v>
      </c>
      <c r="H199" s="307">
        <f t="shared" ca="1" si="99"/>
        <v>298.79506658753758</v>
      </c>
      <c r="I199" s="304">
        <f t="shared" ca="1" si="100"/>
        <v>302.11949606542805</v>
      </c>
      <c r="J199" s="306">
        <f t="shared" ca="1" si="101"/>
        <v>105.55374433456548</v>
      </c>
      <c r="K199" s="307">
        <f t="shared" ca="1" si="102"/>
        <v>788.20162229684945</v>
      </c>
      <c r="L199" s="304">
        <f t="shared" ca="1" si="87"/>
        <v>795.23794573349687</v>
      </c>
      <c r="M199" s="306">
        <f t="shared" ca="1" si="103"/>
        <v>1.422311106725707</v>
      </c>
      <c r="N199" s="304">
        <f t="shared" ca="1" si="104"/>
        <v>81.492423569964217</v>
      </c>
      <c r="P199" s="310">
        <f t="shared" ca="1" si="105"/>
        <v>5</v>
      </c>
      <c r="Q199" s="304">
        <f t="shared" ca="1" si="106"/>
        <v>594.03000000000611</v>
      </c>
      <c r="R199" s="306">
        <f t="shared" ca="1" si="107"/>
        <v>0.29811598012019525</v>
      </c>
      <c r="S199" s="307">
        <f t="shared" ca="1" si="108"/>
        <v>5.9732125286027271</v>
      </c>
      <c r="T199" s="304">
        <f t="shared" ca="1" si="88"/>
        <v>58.597214905592757</v>
      </c>
      <c r="U199" s="311">
        <f t="shared" ca="1" si="89"/>
        <v>0</v>
      </c>
      <c r="V199" s="306">
        <f t="shared" ca="1" si="90"/>
        <v>1.132106251434658</v>
      </c>
      <c r="W199" s="304">
        <f t="shared" ca="1" si="91"/>
        <v>171.06405230462124</v>
      </c>
      <c r="Y199" s="314" t="str">
        <f t="shared" ca="1" si="109"/>
        <v/>
      </c>
      <c r="Z199" s="315" t="str">
        <f t="shared" ca="1" si="110"/>
        <v/>
      </c>
      <c r="AA199" s="316" t="str">
        <f t="shared" ca="1" si="111"/>
        <v/>
      </c>
      <c r="AC199" s="310" t="e">
        <f t="shared" ca="1" si="112"/>
        <v>#N/A</v>
      </c>
      <c r="AD199" s="323" t="e">
        <f t="shared" ca="1" si="113"/>
        <v>#N/A</v>
      </c>
      <c r="AE199" s="324">
        <f t="shared" ca="1" si="92"/>
        <v>788.20162229684945</v>
      </c>
      <c r="AG199" s="306">
        <f t="shared" ca="1" si="114"/>
        <v>61.215749590592203</v>
      </c>
      <c r="AH199" s="304">
        <f t="shared" ca="1" si="115"/>
        <v>70.917873067486696</v>
      </c>
    </row>
    <row r="200" spans="1:34" x14ac:dyDescent="0.2">
      <c r="A200" s="347">
        <f t="shared" ca="1" si="93"/>
        <v>0.01</v>
      </c>
      <c r="B200" s="304">
        <f t="shared" ca="1" si="94"/>
        <v>5.9599999999999582</v>
      </c>
      <c r="D200" s="306">
        <f t="shared" ca="1" si="95"/>
        <v>10.44475331595736</v>
      </c>
      <c r="E200" s="307">
        <f t="shared" ca="1" si="96"/>
        <v>60.014314884330787</v>
      </c>
      <c r="F200" s="304">
        <f t="shared" ca="1" si="97"/>
        <v>60.916425230530479</v>
      </c>
      <c r="G200" s="306">
        <f t="shared" ca="1" si="98"/>
        <v>44.800063490176719</v>
      </c>
      <c r="H200" s="307">
        <f t="shared" ca="1" si="99"/>
        <v>299.39520973638088</v>
      </c>
      <c r="I200" s="304">
        <f t="shared" ca="1" si="100"/>
        <v>302.72848776059277</v>
      </c>
      <c r="J200" s="306">
        <f t="shared" ca="1" si="101"/>
        <v>106.00122273180145</v>
      </c>
      <c r="K200" s="307">
        <f t="shared" ca="1" si="102"/>
        <v>791.19257367846899</v>
      </c>
      <c r="L200" s="304">
        <f t="shared" ca="1" si="87"/>
        <v>798.26182914166486</v>
      </c>
      <c r="M200" s="306">
        <f t="shared" ca="1" si="103"/>
        <v>1.4222631662994478</v>
      </c>
      <c r="N200" s="304">
        <f t="shared" ca="1" si="104"/>
        <v>81.489676785871495</v>
      </c>
      <c r="P200" s="310">
        <f t="shared" ca="1" si="105"/>
        <v>5</v>
      </c>
      <c r="Q200" s="304">
        <f t="shared" ca="1" si="106"/>
        <v>592.57000000000608</v>
      </c>
      <c r="R200" s="306">
        <f t="shared" ca="1" si="107"/>
        <v>0.29738327414410731</v>
      </c>
      <c r="S200" s="307">
        <f t="shared" ca="1" si="108"/>
        <v>5.9702386958612861</v>
      </c>
      <c r="T200" s="304">
        <f t="shared" ca="1" si="88"/>
        <v>58.56804160639922</v>
      </c>
      <c r="U200" s="311">
        <f t="shared" ca="1" si="89"/>
        <v>0</v>
      </c>
      <c r="V200" s="306">
        <f t="shared" ca="1" si="90"/>
        <v>1.1317671660178705</v>
      </c>
      <c r="W200" s="304">
        <f t="shared" ca="1" si="91"/>
        <v>171.7029422518911</v>
      </c>
      <c r="Y200" s="314" t="str">
        <f t="shared" ca="1" si="109"/>
        <v/>
      </c>
      <c r="Z200" s="315" t="str">
        <f t="shared" ca="1" si="110"/>
        <v/>
      </c>
      <c r="AA200" s="316" t="str">
        <f t="shared" ca="1" si="111"/>
        <v/>
      </c>
      <c r="AC200" s="310" t="e">
        <f t="shared" ca="1" si="112"/>
        <v>#N/A</v>
      </c>
      <c r="AD200" s="323" t="e">
        <f t="shared" ca="1" si="113"/>
        <v>#N/A</v>
      </c>
      <c r="AE200" s="324">
        <f t="shared" ca="1" si="92"/>
        <v>791.19257367846899</v>
      </c>
      <c r="AG200" s="306">
        <f t="shared" ca="1" si="114"/>
        <v>60.899134728664997</v>
      </c>
      <c r="AH200" s="304">
        <f t="shared" ca="1" si="115"/>
        <v>70.601188523263403</v>
      </c>
    </row>
    <row r="201" spans="1:34" x14ac:dyDescent="0.2">
      <c r="A201" s="347">
        <f t="shared" ca="1" si="93"/>
        <v>0.01</v>
      </c>
      <c r="B201" s="304">
        <f t="shared" ca="1" si="94"/>
        <v>5.969999999999958</v>
      </c>
      <c r="D201" s="306">
        <f t="shared" ca="1" si="95"/>
        <v>10.401242559976854</v>
      </c>
      <c r="E201" s="307">
        <f t="shared" ca="1" si="96"/>
        <v>59.700664833010009</v>
      </c>
      <c r="F201" s="304">
        <f t="shared" ca="1" si="97"/>
        <v>60.599960629482858</v>
      </c>
      <c r="G201" s="306">
        <f t="shared" ca="1" si="98"/>
        <v>44.904075915776488</v>
      </c>
      <c r="H201" s="307">
        <f t="shared" ca="1" si="99"/>
        <v>299.99221638471096</v>
      </c>
      <c r="I201" s="304">
        <f t="shared" ca="1" si="100"/>
        <v>303.33431379463332</v>
      </c>
      <c r="J201" s="306">
        <f t="shared" ca="1" si="101"/>
        <v>106.44974342883121</v>
      </c>
      <c r="K201" s="307">
        <f t="shared" ca="1" si="102"/>
        <v>794.18951080907448</v>
      </c>
      <c r="L201" s="304">
        <f t="shared" ca="1" si="87"/>
        <v>801.2917864019455</v>
      </c>
      <c r="M201" s="306">
        <f t="shared" ca="1" si="103"/>
        <v>1.4222153062873322</v>
      </c>
      <c r="N201" s="304">
        <f t="shared" ca="1" si="104"/>
        <v>81.486934609169822</v>
      </c>
      <c r="P201" s="310">
        <f t="shared" ca="1" si="105"/>
        <v>5</v>
      </c>
      <c r="Q201" s="304">
        <f t="shared" ca="1" si="106"/>
        <v>591.11000000000615</v>
      </c>
      <c r="R201" s="306">
        <f t="shared" ca="1" si="107"/>
        <v>0.29665056816801949</v>
      </c>
      <c r="S201" s="307">
        <f t="shared" ca="1" si="108"/>
        <v>5.9672721901796058</v>
      </c>
      <c r="T201" s="304">
        <f t="shared" ca="1" si="88"/>
        <v>58.538940185661936</v>
      </c>
      <c r="U201" s="311">
        <f t="shared" ca="1" si="89"/>
        <v>0</v>
      </c>
      <c r="V201" s="306">
        <f t="shared" ca="1" si="90"/>
        <v>1.1314274998325469</v>
      </c>
      <c r="W201" s="304">
        <f t="shared" ca="1" si="91"/>
        <v>172.33912233981607</v>
      </c>
      <c r="Y201" s="314" t="str">
        <f t="shared" ca="1" si="109"/>
        <v/>
      </c>
      <c r="Z201" s="315" t="str">
        <f t="shared" ca="1" si="110"/>
        <v/>
      </c>
      <c r="AA201" s="316" t="str">
        <f t="shared" ca="1" si="111"/>
        <v/>
      </c>
      <c r="AC201" s="310" t="e">
        <f t="shared" ca="1" si="112"/>
        <v>#N/A</v>
      </c>
      <c r="AD201" s="323" t="e">
        <f t="shared" ca="1" si="113"/>
        <v>#N/A</v>
      </c>
      <c r="AE201" s="324">
        <f t="shared" ca="1" si="92"/>
        <v>794.18951080907448</v>
      </c>
      <c r="AG201" s="306">
        <f t="shared" ca="1" si="114"/>
        <v>60.582568663468521</v>
      </c>
      <c r="AH201" s="304">
        <f t="shared" ca="1" si="115"/>
        <v>70.284552871299738</v>
      </c>
    </row>
    <row r="202" spans="1:34" x14ac:dyDescent="0.2">
      <c r="A202" s="347">
        <f t="shared" ca="1" si="93"/>
        <v>0.01</v>
      </c>
      <c r="B202" s="304">
        <f t="shared" ca="1" si="94"/>
        <v>5.9799999999999578</v>
      </c>
      <c r="D202" s="306">
        <f t="shared" ca="1" si="95"/>
        <v>10.357704098277727</v>
      </c>
      <c r="E202" s="307">
        <f t="shared" ca="1" si="96"/>
        <v>59.387072776363567</v>
      </c>
      <c r="F202" s="304">
        <f t="shared" ca="1" si="97"/>
        <v>60.283550385926858</v>
      </c>
      <c r="G202" s="306">
        <f t="shared" ca="1" si="98"/>
        <v>45.007652956759266</v>
      </c>
      <c r="H202" s="307">
        <f t="shared" ca="1" si="99"/>
        <v>300.58608711247462</v>
      </c>
      <c r="I202" s="304">
        <f t="shared" ca="1" si="100"/>
        <v>303.93697470078274</v>
      </c>
      <c r="J202" s="306">
        <f t="shared" ca="1" si="101"/>
        <v>106.89930207319389</v>
      </c>
      <c r="K202" s="307">
        <f t="shared" ca="1" si="102"/>
        <v>797.19240232656045</v>
      </c>
      <c r="L202" s="304">
        <f t="shared" ca="1" si="87"/>
        <v>804.32778586278403</v>
      </c>
      <c r="M202" s="306">
        <f t="shared" ca="1" si="103"/>
        <v>1.4221675258970004</v>
      </c>
      <c r="N202" s="304">
        <f t="shared" ca="1" si="104"/>
        <v>81.484196994460333</v>
      </c>
      <c r="P202" s="310">
        <f t="shared" ca="1" si="105"/>
        <v>5</v>
      </c>
      <c r="Q202" s="304">
        <f t="shared" ca="1" si="106"/>
        <v>589.65000000000612</v>
      </c>
      <c r="R202" s="306">
        <f t="shared" ca="1" si="107"/>
        <v>0.29591786219193161</v>
      </c>
      <c r="S202" s="307">
        <f t="shared" ca="1" si="108"/>
        <v>5.9643130115576861</v>
      </c>
      <c r="T202" s="304">
        <f t="shared" ca="1" si="88"/>
        <v>58.509910643380906</v>
      </c>
      <c r="U202" s="311">
        <f t="shared" ca="1" si="89"/>
        <v>0</v>
      </c>
      <c r="V202" s="306">
        <f t="shared" ca="1" si="90"/>
        <v>1.1310872569760149</v>
      </c>
      <c r="W202" s="304">
        <f t="shared" ca="1" si="91"/>
        <v>172.97257318501264</v>
      </c>
      <c r="Y202" s="314" t="str">
        <f t="shared" ca="1" si="109"/>
        <v/>
      </c>
      <c r="Z202" s="315" t="str">
        <f t="shared" ca="1" si="110"/>
        <v/>
      </c>
      <c r="AA202" s="316" t="str">
        <f t="shared" ca="1" si="111"/>
        <v/>
      </c>
      <c r="AC202" s="310" t="e">
        <f t="shared" ca="1" si="112"/>
        <v>#N/A</v>
      </c>
      <c r="AD202" s="323" t="e">
        <f t="shared" ca="1" si="113"/>
        <v>#N/A</v>
      </c>
      <c r="AE202" s="324">
        <f t="shared" ca="1" si="92"/>
        <v>797.19240232656045</v>
      </c>
      <c r="AG202" s="306">
        <f t="shared" ca="1" si="114"/>
        <v>60.266055921059731</v>
      </c>
      <c r="AH202" s="304">
        <f t="shared" ca="1" si="115"/>
        <v>69.967970636605116</v>
      </c>
    </row>
    <row r="203" spans="1:34" x14ac:dyDescent="0.2">
      <c r="A203" s="347">
        <f t="shared" ca="1" si="93"/>
        <v>0.01</v>
      </c>
      <c r="B203" s="304">
        <f t="shared" ca="1" si="94"/>
        <v>5.9899999999999576</v>
      </c>
      <c r="D203" s="306">
        <f t="shared" ca="1" si="95"/>
        <v>10.314138735121285</v>
      </c>
      <c r="E203" s="307">
        <f t="shared" ca="1" si="96"/>
        <v>59.073543145515487</v>
      </c>
      <c r="F203" s="304">
        <f t="shared" ca="1" si="97"/>
        <v>59.967199014231184</v>
      </c>
      <c r="G203" s="306">
        <f t="shared" ca="1" si="98"/>
        <v>45.110794344110481</v>
      </c>
      <c r="H203" s="307">
        <f t="shared" ca="1" si="99"/>
        <v>301.17682254392975</v>
      </c>
      <c r="I203" s="304">
        <f t="shared" ca="1" si="100"/>
        <v>304.53647105726822</v>
      </c>
      <c r="J203" s="306">
        <f t="shared" ca="1" si="101"/>
        <v>107.34989430969824</v>
      </c>
      <c r="K203" s="307">
        <f t="shared" ca="1" si="102"/>
        <v>800.20121687484243</v>
      </c>
      <c r="L203" s="304">
        <f t="shared" ca="1" si="87"/>
        <v>807.369795878123</v>
      </c>
      <c r="M203" s="306">
        <f t="shared" ca="1" si="103"/>
        <v>1.422119824343117</v>
      </c>
      <c r="N203" s="304">
        <f t="shared" ca="1" si="104"/>
        <v>81.48146389674659</v>
      </c>
      <c r="P203" s="310">
        <f t="shared" ca="1" si="105"/>
        <v>5</v>
      </c>
      <c r="Q203" s="304">
        <f t="shared" ca="1" si="106"/>
        <v>588.19000000000619</v>
      </c>
      <c r="R203" s="306">
        <f t="shared" ca="1" si="107"/>
        <v>0.29518515621584379</v>
      </c>
      <c r="S203" s="307">
        <f t="shared" ca="1" si="108"/>
        <v>5.9613611599955281</v>
      </c>
      <c r="T203" s="304">
        <f t="shared" ca="1" si="88"/>
        <v>58.480952979556136</v>
      </c>
      <c r="U203" s="311">
        <f t="shared" ca="1" si="89"/>
        <v>0</v>
      </c>
      <c r="V203" s="306">
        <f t="shared" ca="1" si="90"/>
        <v>1.1307464415414961</v>
      </c>
      <c r="W203" s="304">
        <f t="shared" ca="1" si="91"/>
        <v>173.60327561404134</v>
      </c>
      <c r="Y203" s="314" t="str">
        <f t="shared" ca="1" si="109"/>
        <v/>
      </c>
      <c r="Z203" s="315" t="str">
        <f t="shared" ca="1" si="110"/>
        <v/>
      </c>
      <c r="AA203" s="316" t="str">
        <f t="shared" ca="1" si="111"/>
        <v/>
      </c>
      <c r="AC203" s="310" t="e">
        <f t="shared" ca="1" si="112"/>
        <v>#N/A</v>
      </c>
      <c r="AD203" s="323" t="e">
        <f t="shared" ca="1" si="113"/>
        <v>#N/A</v>
      </c>
      <c r="AE203" s="324">
        <f t="shared" ca="1" si="92"/>
        <v>800.20121687484243</v>
      </c>
      <c r="AG203" s="306">
        <f t="shared" ca="1" si="114"/>
        <v>59.949601000854237</v>
      </c>
      <c r="AH203" s="304">
        <f t="shared" ca="1" si="115"/>
        <v>69.651446317556278</v>
      </c>
    </row>
    <row r="204" spans="1:34" x14ac:dyDescent="0.2">
      <c r="A204" s="347">
        <f t="shared" ca="1" si="93"/>
        <v>0.01</v>
      </c>
      <c r="B204" s="304">
        <f t="shared" ca="1" si="94"/>
        <v>5.9999999999999574</v>
      </c>
      <c r="D204" s="306">
        <f t="shared" ca="1" si="95"/>
        <v>10.270547270154177</v>
      </c>
      <c r="E204" s="307">
        <f t="shared" ca="1" si="96"/>
        <v>58.760080345218142</v>
      </c>
      <c r="F204" s="304">
        <f t="shared" ca="1" si="97"/>
        <v>59.650911002305428</v>
      </c>
      <c r="G204" s="306">
        <f t="shared" ca="1" si="98"/>
        <v>45.213499816812025</v>
      </c>
      <c r="H204" s="307">
        <f t="shared" ca="1" si="99"/>
        <v>301.76442334738192</v>
      </c>
      <c r="I204" s="304">
        <f t="shared" ca="1" si="100"/>
        <v>305.13280348704365</v>
      </c>
      <c r="J204" s="306">
        <f t="shared" ca="1" si="101"/>
        <v>107.80151578050285</v>
      </c>
      <c r="K204" s="307">
        <f t="shared" ca="1" si="102"/>
        <v>803.21592310429901</v>
      </c>
      <c r="L204" s="304">
        <f t="shared" ca="1" si="87"/>
        <v>810.4177848078516</v>
      </c>
      <c r="M204" s="306">
        <f t="shared" ca="1" si="103"/>
        <v>1.4220722008472753</v>
      </c>
      <c r="N204" s="304">
        <f t="shared" ca="1" si="104"/>
        <v>81.478735271429201</v>
      </c>
      <c r="P204" s="310">
        <f t="shared" ca="1" si="105"/>
        <v>5</v>
      </c>
      <c r="Q204" s="304">
        <f t="shared" ca="1" si="106"/>
        <v>586.73000000000616</v>
      </c>
      <c r="R204" s="306">
        <f t="shared" ca="1" si="107"/>
        <v>0.29445245023975586</v>
      </c>
      <c r="S204" s="307">
        <f t="shared" ca="1" si="108"/>
        <v>5.9584166354931307</v>
      </c>
      <c r="T204" s="304">
        <f t="shared" ca="1" si="88"/>
        <v>58.452067194187613</v>
      </c>
      <c r="U204" s="311">
        <f t="shared" ca="1" si="89"/>
        <v>0</v>
      </c>
      <c r="V204" s="306">
        <f t="shared" ca="1" si="90"/>
        <v>1.1304050576180396</v>
      </c>
      <c r="W204" s="304">
        <f t="shared" ca="1" si="91"/>
        <v>174.23121066328864</v>
      </c>
      <c r="Y204" s="314" t="str">
        <f t="shared" ca="1" si="109"/>
        <v/>
      </c>
      <c r="Z204" s="315" t="str">
        <f t="shared" ca="1" si="110"/>
        <v/>
      </c>
      <c r="AA204" s="316" t="str">
        <f t="shared" ca="1" si="111"/>
        <v/>
      </c>
      <c r="AC204" s="310">
        <f t="shared" ca="1" si="112"/>
        <v>5.9999999999999574</v>
      </c>
      <c r="AD204" s="323">
        <f t="shared" ca="1" si="113"/>
        <v>107.80151578050285</v>
      </c>
      <c r="AE204" s="324">
        <f t="shared" ca="1" si="92"/>
        <v>803.21592310429901</v>
      </c>
      <c r="AG204" s="306">
        <f t="shared" ca="1" si="114"/>
        <v>59.633208375522031</v>
      </c>
      <c r="AH204" s="304">
        <f t="shared" ca="1" si="115"/>
        <v>69.334984385792893</v>
      </c>
    </row>
    <row r="205" spans="1:34" x14ac:dyDescent="0.2">
      <c r="A205" s="347">
        <f t="shared" ca="1" si="93"/>
        <v>0.01</v>
      </c>
      <c r="B205" s="304">
        <f t="shared" ca="1" si="94"/>
        <v>6.0099999999999572</v>
      </c>
      <c r="D205" s="306">
        <f t="shared" ca="1" si="95"/>
        <v>10.226930498401648</v>
      </c>
      <c r="E205" s="307">
        <f t="shared" ca="1" si="96"/>
        <v>58.446688753751218</v>
      </c>
      <c r="F205" s="304">
        <f t="shared" ca="1" si="97"/>
        <v>59.334690811505936</v>
      </c>
      <c r="G205" s="306">
        <f t="shared" ca="1" si="98"/>
        <v>45.315769121796045</v>
      </c>
      <c r="H205" s="307">
        <f t="shared" ca="1" si="99"/>
        <v>302.34889023491945</v>
      </c>
      <c r="I205" s="304">
        <f t="shared" ca="1" si="100"/>
        <v>305.72597265752103</v>
      </c>
      <c r="J205" s="306">
        <f t="shared" ca="1" si="101"/>
        <v>108.25416212519589</v>
      </c>
      <c r="K205" s="307">
        <f t="shared" ca="1" si="102"/>
        <v>806.2364896722105</v>
      </c>
      <c r="L205" s="304">
        <f t="shared" ca="1" si="87"/>
        <v>813.47172101825186</v>
      </c>
      <c r="M205" s="306">
        <f t="shared" ca="1" si="103"/>
        <v>1.4220246546379034</v>
      </c>
      <c r="N205" s="304">
        <f t="shared" ca="1" si="104"/>
        <v>81.476011074300345</v>
      </c>
      <c r="P205" s="310">
        <f t="shared" ca="1" si="105"/>
        <v>6</v>
      </c>
      <c r="Q205" s="304">
        <f t="shared" ca="1" si="106"/>
        <v>585.27000000000623</v>
      </c>
      <c r="R205" s="306">
        <f t="shared" ca="1" si="107"/>
        <v>0.29371974426366804</v>
      </c>
      <c r="S205" s="307">
        <f t="shared" ca="1" si="108"/>
        <v>5.9554794380504941</v>
      </c>
      <c r="T205" s="304">
        <f t="shared" ca="1" si="88"/>
        <v>58.423253287275351</v>
      </c>
      <c r="U205" s="311">
        <f t="shared" ca="1" si="89"/>
        <v>0</v>
      </c>
      <c r="V205" s="306">
        <f t="shared" ca="1" si="90"/>
        <v>1.1300631092904572</v>
      </c>
      <c r="W205" s="304">
        <f t="shared" ca="1" si="91"/>
        <v>174.85635957883244</v>
      </c>
      <c r="Y205" s="314" t="str">
        <f t="shared" ca="1" si="109"/>
        <v/>
      </c>
      <c r="Z205" s="315" t="str">
        <f t="shared" ca="1" si="110"/>
        <v/>
      </c>
      <c r="AA205" s="316" t="str">
        <f t="shared" ca="1" si="111"/>
        <v/>
      </c>
      <c r="AC205" s="310" t="e">
        <f t="shared" ca="1" si="112"/>
        <v>#N/A</v>
      </c>
      <c r="AD205" s="323" t="e">
        <f t="shared" ca="1" si="113"/>
        <v>#N/A</v>
      </c>
      <c r="AE205" s="324">
        <f t="shared" ca="1" si="92"/>
        <v>806.2364896722105</v>
      </c>
      <c r="AG205" s="306">
        <f t="shared" ca="1" si="114"/>
        <v>59.316882490886329</v>
      </c>
      <c r="AH205" s="304">
        <f t="shared" ca="1" si="115"/>
        <v>69.018589286116281</v>
      </c>
    </row>
    <row r="206" spans="1:34" x14ac:dyDescent="0.2">
      <c r="A206" s="347">
        <f t="shared" ca="1" si="93"/>
        <v>0.01</v>
      </c>
      <c r="B206" s="304">
        <f t="shared" ca="1" si="94"/>
        <v>6.0199999999999569</v>
      </c>
      <c r="D206" s="306">
        <f t="shared" ca="1" si="95"/>
        <v>10.183289210260829</v>
      </c>
      <c r="E206" s="307">
        <f t="shared" ca="1" si="96"/>
        <v>58.133372722823225</v>
      </c>
      <c r="F206" s="304">
        <f t="shared" ca="1" si="97"/>
        <v>59.018542876544338</v>
      </c>
      <c r="G206" s="306">
        <f t="shared" ca="1" si="98"/>
        <v>45.417602013898652</v>
      </c>
      <c r="H206" s="307">
        <f t="shared" ca="1" si="99"/>
        <v>302.93022396214769</v>
      </c>
      <c r="I206" s="304">
        <f t="shared" ca="1" si="100"/>
        <v>306.31597928030112</v>
      </c>
      <c r="J206" s="306">
        <f t="shared" ca="1" si="101"/>
        <v>108.70782898087437</v>
      </c>
      <c r="K206" s="307">
        <f t="shared" ca="1" si="102"/>
        <v>809.2628852431958</v>
      </c>
      <c r="L206" s="304">
        <f t="shared" ca="1" si="87"/>
        <v>816.53157288244336</v>
      </c>
      <c r="M206" s="306">
        <f t="shared" ca="1" si="103"/>
        <v>1.4219771849501712</v>
      </c>
      <c r="N206" s="304">
        <f t="shared" ca="1" si="104"/>
        <v>81.473291261538492</v>
      </c>
      <c r="P206" s="310">
        <f t="shared" ca="1" si="105"/>
        <v>6</v>
      </c>
      <c r="Q206" s="304">
        <f t="shared" ca="1" si="106"/>
        <v>583.81000000000631</v>
      </c>
      <c r="R206" s="306">
        <f t="shared" ca="1" si="107"/>
        <v>0.29298703828758021</v>
      </c>
      <c r="S206" s="307">
        <f t="shared" ca="1" si="108"/>
        <v>5.9525495676676181</v>
      </c>
      <c r="T206" s="304">
        <f t="shared" ca="1" si="88"/>
        <v>58.394511258819335</v>
      </c>
      <c r="U206" s="311">
        <f t="shared" ca="1" si="89"/>
        <v>0</v>
      </c>
      <c r="V206" s="306">
        <f t="shared" ca="1" si="90"/>
        <v>1.1297206006392544</v>
      </c>
      <c r="W206" s="304">
        <f t="shared" ca="1" si="91"/>
        <v>175.4787038162923</v>
      </c>
      <c r="Y206" s="314" t="str">
        <f t="shared" ca="1" si="109"/>
        <v/>
      </c>
      <c r="Z206" s="315" t="str">
        <f t="shared" ca="1" si="110"/>
        <v/>
      </c>
      <c r="AA206" s="316" t="str">
        <f t="shared" ca="1" si="111"/>
        <v/>
      </c>
      <c r="AC206" s="310" t="e">
        <f t="shared" ca="1" si="112"/>
        <v>#N/A</v>
      </c>
      <c r="AD206" s="323" t="e">
        <f t="shared" ca="1" si="113"/>
        <v>#N/A</v>
      </c>
      <c r="AE206" s="324">
        <f t="shared" ca="1" si="92"/>
        <v>809.2628852431958</v>
      </c>
      <c r="AG206" s="306">
        <f t="shared" ca="1" si="114"/>
        <v>59.00062776582503</v>
      </c>
      <c r="AH206" s="304">
        <f t="shared" ca="1" si="115"/>
        <v>68.702265436390775</v>
      </c>
    </row>
    <row r="207" spans="1:34" x14ac:dyDescent="0.2">
      <c r="A207" s="347">
        <f t="shared" ca="1" si="93"/>
        <v>0.01</v>
      </c>
      <c r="B207" s="304">
        <f t="shared" ca="1" si="94"/>
        <v>6.0299999999999567</v>
      </c>
      <c r="D207" s="306">
        <f t="shared" ca="1" si="95"/>
        <v>10.139624191494454</v>
      </c>
      <c r="E207" s="307">
        <f t="shared" ca="1" si="96"/>
        <v>57.820136577476234</v>
      </c>
      <c r="F207" s="304">
        <f t="shared" ca="1" si="97"/>
        <v>58.702471605399587</v>
      </c>
      <c r="G207" s="306">
        <f t="shared" ca="1" si="98"/>
        <v>45.518998255813599</v>
      </c>
      <c r="H207" s="307">
        <f t="shared" ca="1" si="99"/>
        <v>303.50842532792245</v>
      </c>
      <c r="I207" s="304">
        <f t="shared" ca="1" si="100"/>
        <v>306.90282411090294</v>
      </c>
      <c r="J207" s="306">
        <f t="shared" ca="1" si="101"/>
        <v>109.16251198222292</v>
      </c>
      <c r="K207" s="307">
        <f t="shared" ca="1" si="102"/>
        <v>812.29507848964613</v>
      </c>
      <c r="L207" s="304">
        <f t="shared" ca="1" si="87"/>
        <v>819.59730878082405</v>
      </c>
      <c r="M207" s="306">
        <f t="shared" ca="1" si="103"/>
        <v>1.4219297910259001</v>
      </c>
      <c r="N207" s="304">
        <f t="shared" ca="1" si="104"/>
        <v>81.47057578970319</v>
      </c>
      <c r="P207" s="310">
        <f t="shared" ca="1" si="105"/>
        <v>6</v>
      </c>
      <c r="Q207" s="304">
        <f t="shared" ca="1" si="106"/>
        <v>582.35000000000628</v>
      </c>
      <c r="R207" s="306">
        <f t="shared" ca="1" si="107"/>
        <v>0.29225433231149228</v>
      </c>
      <c r="S207" s="307">
        <f t="shared" ca="1" si="108"/>
        <v>5.9496270243445029</v>
      </c>
      <c r="T207" s="304">
        <f t="shared" ca="1" si="88"/>
        <v>58.365841108819573</v>
      </c>
      <c r="U207" s="311">
        <f t="shared" ca="1" si="89"/>
        <v>0</v>
      </c>
      <c r="V207" s="306">
        <f t="shared" ca="1" si="90"/>
        <v>1.129377535740568</v>
      </c>
      <c r="W207" s="304">
        <f t="shared" ca="1" si="91"/>
        <v>176.09822504066418</v>
      </c>
      <c r="Y207" s="314" t="str">
        <f t="shared" ca="1" si="109"/>
        <v/>
      </c>
      <c r="Z207" s="315" t="str">
        <f t="shared" ca="1" si="110"/>
        <v/>
      </c>
      <c r="AA207" s="316" t="str">
        <f t="shared" ca="1" si="111"/>
        <v/>
      </c>
      <c r="AC207" s="310" t="e">
        <f t="shared" ca="1" si="112"/>
        <v>#N/A</v>
      </c>
      <c r="AD207" s="323" t="e">
        <f t="shared" ca="1" si="113"/>
        <v>#N/A</v>
      </c>
      <c r="AE207" s="324">
        <f t="shared" ca="1" si="92"/>
        <v>812.29507848964613</v>
      </c>
      <c r="AG207" s="306">
        <f t="shared" ca="1" si="114"/>
        <v>58.684448592175222</v>
      </c>
      <c r="AH207" s="304">
        <f t="shared" ca="1" si="115"/>
        <v>68.386017227448107</v>
      </c>
    </row>
    <row r="208" spans="1:34" x14ac:dyDescent="0.2">
      <c r="A208" s="347">
        <f t="shared" ca="1" si="93"/>
        <v>0.01</v>
      </c>
      <c r="B208" s="304">
        <f t="shared" ca="1" si="94"/>
        <v>6.0399999999999565</v>
      </c>
      <c r="D208" s="306">
        <f t="shared" ca="1" si="95"/>
        <v>10.095936223224555</v>
      </c>
      <c r="E208" s="307">
        <f t="shared" ca="1" si="96"/>
        <v>57.506984615993019</v>
      </c>
      <c r="F208" s="304">
        <f t="shared" ca="1" si="97"/>
        <v>58.386481379232606</v>
      </c>
      <c r="G208" s="306">
        <f t="shared" ca="1" si="98"/>
        <v>45.619957618045845</v>
      </c>
      <c r="H208" s="307">
        <f t="shared" ca="1" si="99"/>
        <v>304.08349517408237</v>
      </c>
      <c r="I208" s="304">
        <f t="shared" ca="1" si="100"/>
        <v>307.48650794849272</v>
      </c>
      <c r="J208" s="306">
        <f t="shared" ca="1" si="101"/>
        <v>109.61820676159222</v>
      </c>
      <c r="K208" s="307">
        <f t="shared" ca="1" si="102"/>
        <v>815.33303809215613</v>
      </c>
      <c r="L208" s="304">
        <f t="shared" ca="1" si="87"/>
        <v>822.66889710150861</v>
      </c>
      <c r="M208" s="306">
        <f t="shared" ca="1" si="103"/>
        <v>1.4218824721134726</v>
      </c>
      <c r="N208" s="304">
        <f t="shared" ca="1" si="104"/>
        <v>81.467864615729951</v>
      </c>
      <c r="P208" s="310">
        <f t="shared" ca="1" si="105"/>
        <v>6</v>
      </c>
      <c r="Q208" s="304">
        <f t="shared" ca="1" si="106"/>
        <v>580.89000000000635</v>
      </c>
      <c r="R208" s="306">
        <f t="shared" ca="1" si="107"/>
        <v>0.29152162633540446</v>
      </c>
      <c r="S208" s="307">
        <f t="shared" ca="1" si="108"/>
        <v>5.9467118080811492</v>
      </c>
      <c r="T208" s="304">
        <f t="shared" ca="1" si="88"/>
        <v>58.337242837276079</v>
      </c>
      <c r="U208" s="311">
        <f t="shared" ca="1" si="89"/>
        <v>0</v>
      </c>
      <c r="V208" s="306">
        <f t="shared" ca="1" si="90"/>
        <v>1.1290339186660996</v>
      </c>
      <c r="W208" s="304">
        <f t="shared" ca="1" si="91"/>
        <v>176.7149051261402</v>
      </c>
      <c r="Y208" s="314" t="str">
        <f t="shared" ca="1" si="109"/>
        <v/>
      </c>
      <c r="Z208" s="315" t="str">
        <f t="shared" ca="1" si="110"/>
        <v/>
      </c>
      <c r="AA208" s="316" t="str">
        <f t="shared" ca="1" si="111"/>
        <v/>
      </c>
      <c r="AC208" s="310" t="e">
        <f t="shared" ca="1" si="112"/>
        <v>#N/A</v>
      </c>
      <c r="AD208" s="323" t="e">
        <f t="shared" ca="1" si="113"/>
        <v>#N/A</v>
      </c>
      <c r="AE208" s="324">
        <f t="shared" ca="1" si="92"/>
        <v>815.33303809215613</v>
      </c>
      <c r="AG208" s="306">
        <f t="shared" ca="1" si="114"/>
        <v>58.368349334640357</v>
      </c>
      <c r="AH208" s="304">
        <f t="shared" ca="1" si="115"/>
        <v>68.069849022994461</v>
      </c>
    </row>
    <row r="209" spans="1:34" x14ac:dyDescent="0.2">
      <c r="A209" s="347">
        <f t="shared" ca="1" si="93"/>
        <v>0.01</v>
      </c>
      <c r="B209" s="304">
        <f t="shared" ca="1" si="94"/>
        <v>6.0499999999999563</v>
      </c>
      <c r="D209" s="306">
        <f t="shared" ca="1" si="95"/>
        <v>10.052226081926522</v>
      </c>
      <c r="E209" s="307">
        <f t="shared" ca="1" si="96"/>
        <v>57.193921109807121</v>
      </c>
      <c r="F209" s="304">
        <f t="shared" ca="1" si="97"/>
        <v>58.070576552304047</v>
      </c>
      <c r="G209" s="306">
        <f t="shared" ca="1" si="98"/>
        <v>45.720479878865113</v>
      </c>
      <c r="H209" s="307">
        <f t="shared" ca="1" si="99"/>
        <v>304.65543438518046</v>
      </c>
      <c r="I209" s="304">
        <f t="shared" ca="1" si="100"/>
        <v>308.06703163561127</v>
      </c>
      <c r="J209" s="306">
        <f t="shared" ca="1" si="101"/>
        <v>110.07490894907677</v>
      </c>
      <c r="K209" s="307">
        <f t="shared" ca="1" si="102"/>
        <v>818.37673273995244</v>
      </c>
      <c r="L209" s="304">
        <f t="shared" ca="1" si="87"/>
        <v>825.74630624076497</v>
      </c>
      <c r="M209" s="306">
        <f t="shared" ca="1" si="103"/>
        <v>1.4218352274677446</v>
      </c>
      <c r="N209" s="304">
        <f t="shared" ca="1" si="104"/>
        <v>81.465157696925147</v>
      </c>
      <c r="P209" s="310">
        <f t="shared" ca="1" si="105"/>
        <v>6</v>
      </c>
      <c r="Q209" s="304">
        <f t="shared" ca="1" si="106"/>
        <v>579.43000000000632</v>
      </c>
      <c r="R209" s="306">
        <f t="shared" ca="1" si="107"/>
        <v>0.29078892035931658</v>
      </c>
      <c r="S209" s="307">
        <f t="shared" ca="1" si="108"/>
        <v>5.9438039188775562</v>
      </c>
      <c r="T209" s="304">
        <f t="shared" ca="1" si="88"/>
        <v>58.308716444188832</v>
      </c>
      <c r="U209" s="311">
        <f t="shared" ca="1" si="89"/>
        <v>0</v>
      </c>
      <c r="V209" s="306">
        <f t="shared" ca="1" si="90"/>
        <v>1.128689753483052</v>
      </c>
      <c r="W209" s="304">
        <f t="shared" ca="1" si="91"/>
        <v>177.32872615591219</v>
      </c>
      <c r="Y209" s="314" t="str">
        <f t="shared" ca="1" si="109"/>
        <v/>
      </c>
      <c r="Z209" s="315" t="str">
        <f t="shared" ca="1" si="110"/>
        <v/>
      </c>
      <c r="AA209" s="316" t="str">
        <f t="shared" ca="1" si="111"/>
        <v/>
      </c>
      <c r="AC209" s="310" t="e">
        <f t="shared" ca="1" si="112"/>
        <v>#N/A</v>
      </c>
      <c r="AD209" s="323" t="e">
        <f t="shared" ca="1" si="113"/>
        <v>#N/A</v>
      </c>
      <c r="AE209" s="324">
        <f t="shared" ca="1" si="92"/>
        <v>818.37673273995244</v>
      </c>
      <c r="AG209" s="306">
        <f t="shared" ca="1" si="114"/>
        <v>58.052334330700141</v>
      </c>
      <c r="AH209" s="304">
        <f t="shared" ca="1" si="115"/>
        <v>67.753765159520256</v>
      </c>
    </row>
    <row r="210" spans="1:34" x14ac:dyDescent="0.2">
      <c r="A210" s="347">
        <f t="shared" ca="1" si="93"/>
        <v>0.01</v>
      </c>
      <c r="B210" s="304">
        <f t="shared" ca="1" si="94"/>
        <v>6.0599999999999561</v>
      </c>
      <c r="D210" s="306">
        <f t="shared" ca="1" si="95"/>
        <v>10.008494539423344</v>
      </c>
      <c r="E210" s="307">
        <f t="shared" ca="1" si="96"/>
        <v>56.880950303415972</v>
      </c>
      <c r="F210" s="304">
        <f t="shared" ca="1" si="97"/>
        <v>57.754761451895412</v>
      </c>
      <c r="G210" s="306">
        <f t="shared" ca="1" si="98"/>
        <v>45.82056482425935</v>
      </c>
      <c r="H210" s="307">
        <f t="shared" ca="1" si="99"/>
        <v>305.22424388821463</v>
      </c>
      <c r="I210" s="304">
        <f t="shared" ca="1" si="100"/>
        <v>308.64439605790102</v>
      </c>
      <c r="J210" s="306">
        <f t="shared" ca="1" si="101"/>
        <v>110.53261417259239</v>
      </c>
      <c r="K210" s="307">
        <f t="shared" ca="1" si="102"/>
        <v>821.42613113131938</v>
      </c>
      <c r="L210" s="304">
        <f t="shared" ca="1" si="87"/>
        <v>828.82950460344648</v>
      </c>
      <c r="M210" s="306">
        <f t="shared" ca="1" si="103"/>
        <v>1.4217880563499588</v>
      </c>
      <c r="N210" s="304">
        <f t="shared" ca="1" si="104"/>
        <v>81.462454990961106</v>
      </c>
      <c r="P210" s="310">
        <f t="shared" ca="1" si="105"/>
        <v>6</v>
      </c>
      <c r="Q210" s="304">
        <f t="shared" ca="1" si="106"/>
        <v>577.97000000000639</v>
      </c>
      <c r="R210" s="306">
        <f t="shared" ca="1" si="107"/>
        <v>0.29005621438322876</v>
      </c>
      <c r="S210" s="307">
        <f t="shared" ca="1" si="108"/>
        <v>5.9409033567337239</v>
      </c>
      <c r="T210" s="304">
        <f t="shared" ca="1" si="88"/>
        <v>58.280261929557838</v>
      </c>
      <c r="U210" s="311">
        <f t="shared" ca="1" si="89"/>
        <v>0</v>
      </c>
      <c r="V210" s="306">
        <f t="shared" ca="1" si="90"/>
        <v>1.1283450442540659</v>
      </c>
      <c r="W210" s="304">
        <f t="shared" ca="1" si="91"/>
        <v>177.93967042196138</v>
      </c>
      <c r="Y210" s="314" t="str">
        <f t="shared" ca="1" si="109"/>
        <v/>
      </c>
      <c r="Z210" s="315" t="str">
        <f t="shared" ca="1" si="110"/>
        <v/>
      </c>
      <c r="AA210" s="316" t="str">
        <f t="shared" ca="1" si="111"/>
        <v/>
      </c>
      <c r="AC210" s="310" t="e">
        <f t="shared" ca="1" si="112"/>
        <v>#N/A</v>
      </c>
      <c r="AD210" s="323" t="e">
        <f t="shared" ca="1" si="113"/>
        <v>#N/A</v>
      </c>
      <c r="AE210" s="324">
        <f t="shared" ca="1" si="92"/>
        <v>821.42613113131938</v>
      </c>
      <c r="AG210" s="306">
        <f t="shared" ca="1" si="114"/>
        <v>57.736407890523608</v>
      </c>
      <c r="AH210" s="304">
        <f t="shared" ca="1" si="115"/>
        <v>67.437769946213123</v>
      </c>
    </row>
    <row r="211" spans="1:34" x14ac:dyDescent="0.2">
      <c r="A211" s="347">
        <f t="shared" ca="1" si="93"/>
        <v>0.01</v>
      </c>
      <c r="B211" s="304">
        <f t="shared" ca="1" si="94"/>
        <v>6.0699999999999559</v>
      </c>
      <c r="D211" s="306">
        <f t="shared" ca="1" si="95"/>
        <v>9.9647423628799832</v>
      </c>
      <c r="E211" s="307">
        <f t="shared" ca="1" si="96"/>
        <v>56.568076414296328</v>
      </c>
      <c r="F211" s="304">
        <f t="shared" ca="1" si="97"/>
        <v>57.439040378232676</v>
      </c>
      <c r="G211" s="306">
        <f t="shared" ca="1" si="98"/>
        <v>45.920212247888152</v>
      </c>
      <c r="H211" s="307">
        <f t="shared" ca="1" si="99"/>
        <v>305.78992465235757</v>
      </c>
      <c r="I211" s="304">
        <f t="shared" ca="1" si="100"/>
        <v>309.21860214383224</v>
      </c>
      <c r="J211" s="306">
        <f t="shared" ca="1" si="101"/>
        <v>110.99131805795312</v>
      </c>
      <c r="K211" s="307">
        <f t="shared" ca="1" si="102"/>
        <v>824.48120197402227</v>
      </c>
      <c r="L211" s="304">
        <f t="shared" ca="1" si="87"/>
        <v>831.91846060342368</v>
      </c>
      <c r="M211" s="306">
        <f t="shared" ca="1" si="103"/>
        <v>1.4217409580276579</v>
      </c>
      <c r="N211" s="304">
        <f t="shared" ca="1" si="104"/>
        <v>81.459756455871116</v>
      </c>
      <c r="P211" s="310">
        <f t="shared" ca="1" si="105"/>
        <v>6</v>
      </c>
      <c r="Q211" s="304">
        <f t="shared" ca="1" si="106"/>
        <v>576.51000000000647</v>
      </c>
      <c r="R211" s="306">
        <f t="shared" ca="1" si="107"/>
        <v>0.28932350840714088</v>
      </c>
      <c r="S211" s="307">
        <f t="shared" ca="1" si="108"/>
        <v>5.9380101216496524</v>
      </c>
      <c r="T211" s="304">
        <f t="shared" ca="1" si="88"/>
        <v>58.251879293383091</v>
      </c>
      <c r="U211" s="311">
        <f t="shared" ca="1" si="89"/>
        <v>0</v>
      </c>
      <c r="V211" s="306">
        <f t="shared" ca="1" si="90"/>
        <v>1.1279997950371567</v>
      </c>
      <c r="W211" s="304">
        <f t="shared" ca="1" si="91"/>
        <v>178.54772042483279</v>
      </c>
      <c r="Y211" s="314" t="str">
        <f t="shared" ca="1" si="109"/>
        <v/>
      </c>
      <c r="Z211" s="315" t="str">
        <f t="shared" ca="1" si="110"/>
        <v/>
      </c>
      <c r="AA211" s="316" t="str">
        <f t="shared" ca="1" si="111"/>
        <v/>
      </c>
      <c r="AC211" s="310" t="e">
        <f t="shared" ca="1" si="112"/>
        <v>#N/A</v>
      </c>
      <c r="AD211" s="323" t="e">
        <f t="shared" ca="1" si="113"/>
        <v>#N/A</v>
      </c>
      <c r="AE211" s="324">
        <f t="shared" ca="1" si="92"/>
        <v>824.48120197402227</v>
      </c>
      <c r="AG211" s="306">
        <f t="shared" ca="1" si="114"/>
        <v>57.420574296884432</v>
      </c>
      <c r="AH211" s="304">
        <f t="shared" ca="1" si="115"/>
        <v>67.121867664873108</v>
      </c>
    </row>
    <row r="212" spans="1:34" x14ac:dyDescent="0.2">
      <c r="A212" s="347">
        <f t="shared" ca="1" si="93"/>
        <v>0.01</v>
      </c>
      <c r="B212" s="304">
        <f t="shared" ca="1" si="94"/>
        <v>6.0799999999999557</v>
      </c>
      <c r="D212" s="306">
        <f t="shared" ca="1" si="95"/>
        <v>9.9209703147981454</v>
      </c>
      <c r="E212" s="307">
        <f t="shared" ca="1" si="96"/>
        <v>56.255303632822802</v>
      </c>
      <c r="F212" s="304">
        <f t="shared" ca="1" si="97"/>
        <v>57.12341760441327</v>
      </c>
      <c r="G212" s="306">
        <f t="shared" ca="1" si="98"/>
        <v>46.019421951036136</v>
      </c>
      <c r="H212" s="307">
        <f t="shared" ca="1" si="99"/>
        <v>306.35247768868578</v>
      </c>
      <c r="I212" s="304">
        <f t="shared" ca="1" si="100"/>
        <v>309.78965086442804</v>
      </c>
      <c r="J212" s="306">
        <f t="shared" ca="1" si="101"/>
        <v>111.45101622894775</v>
      </c>
      <c r="K212" s="307">
        <f t="shared" ca="1" si="102"/>
        <v>827.54191398572743</v>
      </c>
      <c r="L212" s="304">
        <f t="shared" ca="1" si="87"/>
        <v>835.01314266400993</v>
      </c>
      <c r="M212" s="306">
        <f t="shared" ca="1" si="103"/>
        <v>1.4216939317746029</v>
      </c>
      <c r="N212" s="304">
        <f t="shared" ca="1" si="104"/>
        <v>81.457062050044755</v>
      </c>
      <c r="P212" s="310">
        <f t="shared" ca="1" si="105"/>
        <v>6</v>
      </c>
      <c r="Q212" s="304">
        <f t="shared" ca="1" si="106"/>
        <v>575.05000000000643</v>
      </c>
      <c r="R212" s="306">
        <f t="shared" ca="1" si="107"/>
        <v>0.28859080243105301</v>
      </c>
      <c r="S212" s="307">
        <f t="shared" ca="1" si="108"/>
        <v>5.9351242136253415</v>
      </c>
      <c r="T212" s="304">
        <f t="shared" ca="1" si="88"/>
        <v>58.223568535664604</v>
      </c>
      <c r="U212" s="311">
        <f t="shared" ca="1" si="89"/>
        <v>0</v>
      </c>
      <c r="V212" s="306">
        <f t="shared" ca="1" si="90"/>
        <v>1.1276540098856518</v>
      </c>
      <c r="W212" s="304">
        <f t="shared" ca="1" si="91"/>
        <v>179.15285887339428</v>
      </c>
      <c r="Y212" s="314" t="str">
        <f t="shared" ca="1" si="109"/>
        <v/>
      </c>
      <c r="Z212" s="315" t="str">
        <f t="shared" ca="1" si="110"/>
        <v/>
      </c>
      <c r="AA212" s="316" t="str">
        <f t="shared" ca="1" si="111"/>
        <v/>
      </c>
      <c r="AC212" s="310" t="e">
        <f t="shared" ca="1" si="112"/>
        <v>#N/A</v>
      </c>
      <c r="AD212" s="323" t="e">
        <f t="shared" ca="1" si="113"/>
        <v>#N/A</v>
      </c>
      <c r="AE212" s="324">
        <f t="shared" ca="1" si="92"/>
        <v>827.54191398572743</v>
      </c>
      <c r="AG212" s="306">
        <f t="shared" ca="1" si="114"/>
        <v>57.104837805079377</v>
      </c>
      <c r="AH212" s="304">
        <f t="shared" ca="1" si="115"/>
        <v>66.806062569831013</v>
      </c>
    </row>
    <row r="213" spans="1:34" x14ac:dyDescent="0.2">
      <c r="A213" s="347">
        <f t="shared" ca="1" si="93"/>
        <v>0.01</v>
      </c>
      <c r="B213" s="304">
        <f t="shared" ca="1" si="94"/>
        <v>6.0899999999999554</v>
      </c>
      <c r="D213" s="306">
        <f t="shared" ca="1" si="95"/>
        <v>9.87717915301101</v>
      </c>
      <c r="E213" s="307">
        <f t="shared" ca="1" si="96"/>
        <v>55.942636122189086</v>
      </c>
      <c r="F213" s="304">
        <f t="shared" ca="1" si="97"/>
        <v>56.807897376336072</v>
      </c>
      <c r="G213" s="306">
        <f t="shared" ca="1" si="98"/>
        <v>46.118193742566248</v>
      </c>
      <c r="H213" s="307">
        <f t="shared" ca="1" si="99"/>
        <v>306.91190404990766</v>
      </c>
      <c r="I213" s="304">
        <f t="shared" ca="1" si="100"/>
        <v>310.35754323298897</v>
      </c>
      <c r="J213" s="306">
        <f t="shared" ca="1" si="101"/>
        <v>111.91170430741576</v>
      </c>
      <c r="K213" s="307">
        <f t="shared" ca="1" si="102"/>
        <v>830.60823589442043</v>
      </c>
      <c r="L213" s="304">
        <f t="shared" ca="1" si="87"/>
        <v>838.11351921838821</v>
      </c>
      <c r="M213" s="306">
        <f t="shared" ca="1" si="103"/>
        <v>1.4216469768706879</v>
      </c>
      <c r="N213" s="304">
        <f t="shared" ca="1" si="104"/>
        <v>81.454371732222981</v>
      </c>
      <c r="P213" s="310">
        <f t="shared" ca="1" si="105"/>
        <v>6</v>
      </c>
      <c r="Q213" s="304">
        <f t="shared" ca="1" si="106"/>
        <v>573.59000000000651</v>
      </c>
      <c r="R213" s="306">
        <f t="shared" ca="1" si="107"/>
        <v>0.28785809645496518</v>
      </c>
      <c r="S213" s="307">
        <f t="shared" ca="1" si="108"/>
        <v>5.9322456326607922</v>
      </c>
      <c r="T213" s="304">
        <f t="shared" ca="1" si="88"/>
        <v>58.195329656402372</v>
      </c>
      <c r="U213" s="311">
        <f t="shared" ca="1" si="89"/>
        <v>0</v>
      </c>
      <c r="V213" s="306">
        <f t="shared" ca="1" si="90"/>
        <v>1.1273076928481276</v>
      </c>
      <c r="W213" s="304">
        <f t="shared" ca="1" si="91"/>
        <v>179.75506868458197</v>
      </c>
      <c r="Y213" s="314" t="str">
        <f t="shared" ca="1" si="109"/>
        <v/>
      </c>
      <c r="Z213" s="315" t="str">
        <f t="shared" ca="1" si="110"/>
        <v/>
      </c>
      <c r="AA213" s="316" t="str">
        <f t="shared" ca="1" si="111"/>
        <v/>
      </c>
      <c r="AC213" s="310" t="e">
        <f t="shared" ca="1" si="112"/>
        <v>#N/A</v>
      </c>
      <c r="AD213" s="323" t="e">
        <f t="shared" ca="1" si="113"/>
        <v>#N/A</v>
      </c>
      <c r="AE213" s="324">
        <f t="shared" ca="1" si="92"/>
        <v>830.60823589442043</v>
      </c>
      <c r="AG213" s="306">
        <f t="shared" ca="1" si="114"/>
        <v>56.78920264284946</v>
      </c>
      <c r="AH213" s="304">
        <f t="shared" ca="1" si="115"/>
        <v>66.490358887869448</v>
      </c>
    </row>
    <row r="214" spans="1:34" x14ac:dyDescent="0.2">
      <c r="A214" s="347">
        <f t="shared" ca="1" si="93"/>
        <v>0.01</v>
      </c>
      <c r="B214" s="304">
        <f t="shared" ca="1" si="94"/>
        <v>6.0999999999999552</v>
      </c>
      <c r="D214" s="306">
        <f t="shared" ca="1" si="95"/>
        <v>9.8333696306784972</v>
      </c>
      <c r="E214" s="307">
        <f t="shared" ca="1" si="96"/>
        <v>55.630078018331744</v>
      </c>
      <c r="F214" s="304">
        <f t="shared" ca="1" si="97"/>
        <v>56.492483912634142</v>
      </c>
      <c r="G214" s="306">
        <f t="shared" ca="1" si="98"/>
        <v>46.216527438873037</v>
      </c>
      <c r="H214" s="307">
        <f t="shared" ca="1" si="99"/>
        <v>307.468204830091</v>
      </c>
      <c r="I214" s="304">
        <f t="shared" ca="1" si="100"/>
        <v>310.92228030481652</v>
      </c>
      <c r="J214" s="306">
        <f t="shared" ca="1" si="101"/>
        <v>112.37337791332295</v>
      </c>
      <c r="K214" s="307">
        <f t="shared" ca="1" si="102"/>
        <v>833.68013643882045</v>
      </c>
      <c r="L214" s="304">
        <f t="shared" ca="1" si="87"/>
        <v>841.21955871003183</v>
      </c>
      <c r="M214" s="306">
        <f t="shared" ca="1" si="103"/>
        <v>1.4216000926018604</v>
      </c>
      <c r="N214" s="304">
        <f t="shared" ca="1" si="104"/>
        <v>81.451685461493611</v>
      </c>
      <c r="P214" s="310">
        <f t="shared" ca="1" si="105"/>
        <v>6</v>
      </c>
      <c r="Q214" s="304">
        <f t="shared" ca="1" si="106"/>
        <v>572.13000000000648</v>
      </c>
      <c r="R214" s="306">
        <f t="shared" ca="1" si="107"/>
        <v>0.28712539047887731</v>
      </c>
      <c r="S214" s="307">
        <f t="shared" ca="1" si="108"/>
        <v>5.9293743787560036</v>
      </c>
      <c r="T214" s="304">
        <f t="shared" ca="1" si="88"/>
        <v>58.1671626555964</v>
      </c>
      <c r="U214" s="311">
        <f t="shared" ca="1" si="89"/>
        <v>0</v>
      </c>
      <c r="V214" s="306">
        <f t="shared" ca="1" si="90"/>
        <v>1.1269608479683493</v>
      </c>
      <c r="W214" s="304">
        <f t="shared" ca="1" si="91"/>
        <v>180.3543329831304</v>
      </c>
      <c r="Y214" s="314" t="str">
        <f t="shared" ca="1" si="109"/>
        <v/>
      </c>
      <c r="Z214" s="315" t="str">
        <f t="shared" ca="1" si="110"/>
        <v/>
      </c>
      <c r="AA214" s="316" t="str">
        <f t="shared" ca="1" si="111"/>
        <v/>
      </c>
      <c r="AC214" s="310" t="e">
        <f t="shared" ca="1" si="112"/>
        <v>#N/A</v>
      </c>
      <c r="AD214" s="323" t="e">
        <f t="shared" ca="1" si="113"/>
        <v>#N/A</v>
      </c>
      <c r="AE214" s="324">
        <f t="shared" ca="1" si="92"/>
        <v>833.68013643882045</v>
      </c>
      <c r="AG214" s="306">
        <f t="shared" ca="1" si="114"/>
        <v>56.473673010303692</v>
      </c>
      <c r="AH214" s="304">
        <f t="shared" ca="1" si="115"/>
        <v>66.174760818146495</v>
      </c>
    </row>
    <row r="215" spans="1:34" x14ac:dyDescent="0.2">
      <c r="A215" s="347">
        <f t="shared" ca="1" si="93"/>
        <v>0.01</v>
      </c>
      <c r="B215" s="304">
        <f t="shared" ca="1" si="94"/>
        <v>6.109999999999955</v>
      </c>
      <c r="D215" s="306">
        <f t="shared" ca="1" si="95"/>
        <v>9.7895424962824507</v>
      </c>
      <c r="E215" s="307">
        <f t="shared" ca="1" si="96"/>
        <v>55.317633429857082</v>
      </c>
      <c r="F215" s="304">
        <f t="shared" ca="1" si="97"/>
        <v>56.177181404610913</v>
      </c>
      <c r="G215" s="306">
        <f t="shared" ca="1" si="98"/>
        <v>46.314422863835858</v>
      </c>
      <c r="H215" s="307">
        <f t="shared" ca="1" si="99"/>
        <v>308.0213811643896</v>
      </c>
      <c r="I215" s="304">
        <f t="shared" ca="1" si="100"/>
        <v>311.48386317693632</v>
      </c>
      <c r="J215" s="306">
        <f t="shared" ca="1" si="101"/>
        <v>112.83603266483649</v>
      </c>
      <c r="K215" s="307">
        <f t="shared" ca="1" si="102"/>
        <v>836.75758436879289</v>
      </c>
      <c r="L215" s="304">
        <f t="shared" ca="1" si="87"/>
        <v>844.33122959312459</v>
      </c>
      <c r="M215" s="306">
        <f t="shared" ca="1" si="103"/>
        <v>1.4215532782600397</v>
      </c>
      <c r="N215" s="304">
        <f t="shared" ca="1" si="104"/>
        <v>81.449003197286601</v>
      </c>
      <c r="P215" s="310">
        <f t="shared" ca="1" si="105"/>
        <v>6</v>
      </c>
      <c r="Q215" s="304">
        <f t="shared" ca="1" si="106"/>
        <v>570.67000000000655</v>
      </c>
      <c r="R215" s="306">
        <f t="shared" ca="1" si="107"/>
        <v>0.28639268450278943</v>
      </c>
      <c r="S215" s="307">
        <f t="shared" ca="1" si="108"/>
        <v>5.9265104519109757</v>
      </c>
      <c r="T215" s="304">
        <f t="shared" ca="1" si="88"/>
        <v>58.139067533246674</v>
      </c>
      <c r="U215" s="311">
        <f t="shared" ca="1" si="89"/>
        <v>0</v>
      </c>
      <c r="V215" s="306">
        <f t="shared" ca="1" si="90"/>
        <v>1.1266134792852109</v>
      </c>
      <c r="W215" s="304">
        <f t="shared" ca="1" si="91"/>
        <v>180.95063510128932</v>
      </c>
      <c r="Y215" s="314" t="str">
        <f t="shared" ca="1" si="109"/>
        <v/>
      </c>
      <c r="Z215" s="315" t="str">
        <f t="shared" ca="1" si="110"/>
        <v/>
      </c>
      <c r="AA215" s="316" t="str">
        <f t="shared" ca="1" si="111"/>
        <v/>
      </c>
      <c r="AC215" s="310" t="e">
        <f t="shared" ca="1" si="112"/>
        <v>#N/A</v>
      </c>
      <c r="AD215" s="323" t="e">
        <f t="shared" ca="1" si="113"/>
        <v>#N/A</v>
      </c>
      <c r="AE215" s="324">
        <f t="shared" ca="1" si="92"/>
        <v>836.75758436879289</v>
      </c>
      <c r="AG215" s="306">
        <f t="shared" ca="1" si="114"/>
        <v>56.158253079845785</v>
      </c>
      <c r="AH215" s="304">
        <f t="shared" ca="1" si="115"/>
        <v>65.85927253212229</v>
      </c>
    </row>
    <row r="216" spans="1:34" x14ac:dyDescent="0.2">
      <c r="A216" s="347">
        <f t="shared" ca="1" si="93"/>
        <v>0.01</v>
      </c>
      <c r="B216" s="304">
        <f t="shared" ca="1" si="94"/>
        <v>6.1199999999999548</v>
      </c>
      <c r="D216" s="306">
        <f t="shared" ca="1" si="95"/>
        <v>9.7456984936222995</v>
      </c>
      <c r="E216" s="307">
        <f t="shared" ca="1" si="96"/>
        <v>55.00530643797012</v>
      </c>
      <c r="F216" s="304">
        <f t="shared" ca="1" si="97"/>
        <v>55.861994016178734</v>
      </c>
      <c r="G216" s="306">
        <f t="shared" ca="1" si="98"/>
        <v>46.411879848772081</v>
      </c>
      <c r="H216" s="307">
        <f t="shared" ca="1" si="99"/>
        <v>308.57143422876931</v>
      </c>
      <c r="I216" s="304">
        <f t="shared" ca="1" si="100"/>
        <v>312.04229298782008</v>
      </c>
      <c r="J216" s="306">
        <f t="shared" ca="1" si="101"/>
        <v>113.29966417839954</v>
      </c>
      <c r="K216" s="307">
        <f t="shared" ca="1" si="102"/>
        <v>839.84054844575871</v>
      </c>
      <c r="L216" s="304">
        <f t="shared" ca="1" si="87"/>
        <v>847.44850033297655</v>
      </c>
      <c r="M216" s="306">
        <f t="shared" ca="1" si="103"/>
        <v>1.4215065331430394</v>
      </c>
      <c r="N216" s="304">
        <f t="shared" ca="1" si="104"/>
        <v>81.446324899369642</v>
      </c>
      <c r="P216" s="310">
        <f t="shared" ca="1" si="105"/>
        <v>6</v>
      </c>
      <c r="Q216" s="304">
        <f t="shared" ca="1" si="106"/>
        <v>569.21000000000663</v>
      </c>
      <c r="R216" s="306">
        <f t="shared" ca="1" si="107"/>
        <v>0.28565997852670161</v>
      </c>
      <c r="S216" s="307">
        <f t="shared" ca="1" si="108"/>
        <v>5.9236538521257085</v>
      </c>
      <c r="T216" s="304">
        <f t="shared" ca="1" si="88"/>
        <v>58.111044289353202</v>
      </c>
      <c r="U216" s="311">
        <f t="shared" ca="1" si="89"/>
        <v>0</v>
      </c>
      <c r="V216" s="306">
        <f t="shared" ca="1" si="90"/>
        <v>1.1262655908326724</v>
      </c>
      <c r="W216" s="304">
        <f t="shared" ca="1" si="91"/>
        <v>181.54395857852498</v>
      </c>
      <c r="Y216" s="314" t="str">
        <f t="shared" ca="1" si="109"/>
        <v/>
      </c>
      <c r="Z216" s="315" t="str">
        <f t="shared" ca="1" si="110"/>
        <v/>
      </c>
      <c r="AA216" s="316" t="str">
        <f t="shared" ca="1" si="111"/>
        <v/>
      </c>
      <c r="AC216" s="310" t="e">
        <f t="shared" ca="1" si="112"/>
        <v>#N/A</v>
      </c>
      <c r="AD216" s="323" t="e">
        <f t="shared" ca="1" si="113"/>
        <v>#N/A</v>
      </c>
      <c r="AE216" s="324">
        <f t="shared" ca="1" si="92"/>
        <v>839.84054844575871</v>
      </c>
      <c r="AG216" s="306">
        <f t="shared" ca="1" si="114"/>
        <v>55.842946996103201</v>
      </c>
      <c r="AH216" s="304">
        <f t="shared" ca="1" si="115"/>
        <v>65.543898173487989</v>
      </c>
    </row>
    <row r="217" spans="1:34" x14ac:dyDescent="0.2">
      <c r="A217" s="347">
        <f t="shared" ca="1" si="93"/>
        <v>0.01</v>
      </c>
      <c r="B217" s="304">
        <f t="shared" ca="1" si="94"/>
        <v>6.1299999999999546</v>
      </c>
      <c r="D217" s="306">
        <f t="shared" ca="1" si="95"/>
        <v>9.7018383618107578</v>
      </c>
      <c r="E217" s="307">
        <f t="shared" ca="1" si="96"/>
        <v>54.693101096406949</v>
      </c>
      <c r="F217" s="304">
        <f t="shared" ca="1" si="97"/>
        <v>55.546925883801109</v>
      </c>
      <c r="G217" s="306">
        <f t="shared" ca="1" si="98"/>
        <v>46.508898232390187</v>
      </c>
      <c r="H217" s="307">
        <f t="shared" ca="1" si="99"/>
        <v>309.11836523973335</v>
      </c>
      <c r="I217" s="304">
        <f t="shared" ca="1" si="100"/>
        <v>312.59757091710748</v>
      </c>
      <c r="J217" s="306">
        <f t="shared" ca="1" si="101"/>
        <v>113.76426806880535</v>
      </c>
      <c r="K217" s="307">
        <f t="shared" ca="1" si="102"/>
        <v>842.92899744310125</v>
      </c>
      <c r="L217" s="304">
        <f t="shared" ca="1" si="87"/>
        <v>850.57133940643848</v>
      </c>
      <c r="M217" s="306">
        <f t="shared" ca="1" si="103"/>
        <v>1.4214598565544885</v>
      </c>
      <c r="N217" s="304">
        <f t="shared" ca="1" si="104"/>
        <v>81.443650527843602</v>
      </c>
      <c r="P217" s="310">
        <f t="shared" ca="1" si="105"/>
        <v>6</v>
      </c>
      <c r="Q217" s="304">
        <f t="shared" ca="1" si="106"/>
        <v>567.75000000000659</v>
      </c>
      <c r="R217" s="306">
        <f t="shared" ca="1" si="107"/>
        <v>0.28492727255061373</v>
      </c>
      <c r="S217" s="307">
        <f t="shared" ca="1" si="108"/>
        <v>5.920804579400202</v>
      </c>
      <c r="T217" s="304">
        <f t="shared" ca="1" si="88"/>
        <v>58.083092923915984</v>
      </c>
      <c r="U217" s="311">
        <f t="shared" ca="1" si="89"/>
        <v>0</v>
      </c>
      <c r="V217" s="306">
        <f t="shared" ca="1" si="90"/>
        <v>1.1259171866397022</v>
      </c>
      <c r="W217" s="304">
        <f t="shared" ca="1" si="91"/>
        <v>182.13428716120907</v>
      </c>
      <c r="Y217" s="314" t="str">
        <f t="shared" ca="1" si="109"/>
        <v/>
      </c>
      <c r="Z217" s="315" t="str">
        <f t="shared" ca="1" si="110"/>
        <v/>
      </c>
      <c r="AA217" s="316" t="str">
        <f t="shared" ca="1" si="111"/>
        <v/>
      </c>
      <c r="AC217" s="310" t="e">
        <f t="shared" ca="1" si="112"/>
        <v>#N/A</v>
      </c>
      <c r="AD217" s="323" t="e">
        <f t="shared" ca="1" si="113"/>
        <v>#N/A</v>
      </c>
      <c r="AE217" s="324">
        <f t="shared" ca="1" si="92"/>
        <v>842.92899744310125</v>
      </c>
      <c r="AG217" s="306">
        <f t="shared" ca="1" si="114"/>
        <v>55.527758875859362</v>
      </c>
      <c r="AH217" s="304">
        <f t="shared" ca="1" si="115"/>
        <v>65.228641858097873</v>
      </c>
    </row>
    <row r="218" spans="1:34" x14ac:dyDescent="0.2">
      <c r="A218" s="347">
        <f t="shared" ca="1" si="93"/>
        <v>0.01</v>
      </c>
      <c r="B218" s="304">
        <f t="shared" ca="1" si="94"/>
        <v>6.1399999999999544</v>
      </c>
      <c r="D218" s="306">
        <f t="shared" ca="1" si="95"/>
        <v>9.6579628352698936</v>
      </c>
      <c r="E218" s="307">
        <f t="shared" ca="1" si="96"/>
        <v>54.381021431369291</v>
      </c>
      <c r="F218" s="304">
        <f t="shared" ca="1" si="97"/>
        <v>55.231981116437431</v>
      </c>
      <c r="G218" s="306">
        <f t="shared" ca="1" si="98"/>
        <v>46.605477860742887</v>
      </c>
      <c r="H218" s="307">
        <f t="shared" ca="1" si="99"/>
        <v>309.66217545404703</v>
      </c>
      <c r="I218" s="304">
        <f t="shared" ca="1" si="100"/>
        <v>313.14969818532671</v>
      </c>
      <c r="J218" s="306">
        <f t="shared" ca="1" si="101"/>
        <v>114.22983994927101</v>
      </c>
      <c r="K218" s="307">
        <f t="shared" ca="1" si="102"/>
        <v>846.02290014657012</v>
      </c>
      <c r="L218" s="304">
        <f t="shared" ca="1" si="87"/>
        <v>853.6997153023126</v>
      </c>
      <c r="M218" s="306">
        <f t="shared" ca="1" si="103"/>
        <v>1.4214132478037544</v>
      </c>
      <c r="N218" s="304">
        <f t="shared" ca="1" si="104"/>
        <v>81.440980043138154</v>
      </c>
      <c r="P218" s="310">
        <f t="shared" ca="1" si="105"/>
        <v>6</v>
      </c>
      <c r="Q218" s="304">
        <f t="shared" ca="1" si="106"/>
        <v>566.29000000000667</v>
      </c>
      <c r="R218" s="306">
        <f t="shared" ca="1" si="107"/>
        <v>0.28419456657452585</v>
      </c>
      <c r="S218" s="307">
        <f t="shared" ca="1" si="108"/>
        <v>5.9179626337344571</v>
      </c>
      <c r="T218" s="304">
        <f t="shared" ca="1" si="88"/>
        <v>58.055213436935027</v>
      </c>
      <c r="U218" s="311">
        <f t="shared" ca="1" si="89"/>
        <v>0</v>
      </c>
      <c r="V218" s="306">
        <f t="shared" ca="1" si="90"/>
        <v>1.1255682707302159</v>
      </c>
      <c r="W218" s="304">
        <f t="shared" ca="1" si="91"/>
        <v>182.72160480229212</v>
      </c>
      <c r="Y218" s="314" t="str">
        <f t="shared" ca="1" si="109"/>
        <v/>
      </c>
      <c r="Z218" s="315" t="str">
        <f t="shared" ca="1" si="110"/>
        <v/>
      </c>
      <c r="AA218" s="316" t="str">
        <f t="shared" ca="1" si="111"/>
        <v/>
      </c>
      <c r="AC218" s="310" t="e">
        <f t="shared" ca="1" si="112"/>
        <v>#N/A</v>
      </c>
      <c r="AD218" s="323" t="e">
        <f t="shared" ca="1" si="113"/>
        <v>#N/A</v>
      </c>
      <c r="AE218" s="324">
        <f t="shared" ca="1" si="92"/>
        <v>846.02290014657012</v>
      </c>
      <c r="AG218" s="306">
        <f t="shared" ca="1" si="114"/>
        <v>55.212692807988184</v>
      </c>
      <c r="AH218" s="304">
        <f t="shared" ca="1" si="115"/>
        <v>64.913507673903794</v>
      </c>
    </row>
    <row r="219" spans="1:34" x14ac:dyDescent="0.2">
      <c r="A219" s="347">
        <f t="shared" ca="1" si="93"/>
        <v>0.01</v>
      </c>
      <c r="B219" s="304">
        <f t="shared" ca="1" si="94"/>
        <v>6.1499999999999542</v>
      </c>
      <c r="D219" s="306">
        <f t="shared" ca="1" si="95"/>
        <v>9.6140726437273951</v>
      </c>
      <c r="E219" s="307">
        <f t="shared" ca="1" si="96"/>
        <v>54.069071441461887</v>
      </c>
      <c r="F219" s="304">
        <f t="shared" ca="1" si="97"/>
        <v>54.917163795490907</v>
      </c>
      <c r="G219" s="306">
        <f t="shared" ca="1" si="98"/>
        <v>46.701618587180164</v>
      </c>
      <c r="H219" s="307">
        <f t="shared" ca="1" si="99"/>
        <v>310.20286616846164</v>
      </c>
      <c r="I219" s="304">
        <f t="shared" ca="1" si="100"/>
        <v>313.69867605361515</v>
      </c>
      <c r="J219" s="306">
        <f t="shared" ca="1" si="101"/>
        <v>114.69637543151063</v>
      </c>
      <c r="K219" s="307">
        <f t="shared" ca="1" si="102"/>
        <v>849.12222535468266</v>
      </c>
      <c r="L219" s="304">
        <f t="shared" ca="1" si="87"/>
        <v>856.83359652176023</v>
      </c>
      <c r="M219" s="306">
        <f t="shared" ca="1" si="103"/>
        <v>1.4213667062058697</v>
      </c>
      <c r="N219" s="304">
        <f t="shared" ca="1" si="104"/>
        <v>81.438313406007566</v>
      </c>
      <c r="P219" s="310">
        <f t="shared" ca="1" si="105"/>
        <v>6</v>
      </c>
      <c r="Q219" s="304">
        <f t="shared" ca="1" si="106"/>
        <v>564.83000000000663</v>
      </c>
      <c r="R219" s="306">
        <f t="shared" ca="1" si="107"/>
        <v>0.28346186059843798</v>
      </c>
      <c r="S219" s="307">
        <f t="shared" ca="1" si="108"/>
        <v>5.9151280151284729</v>
      </c>
      <c r="T219" s="304">
        <f t="shared" ca="1" si="88"/>
        <v>58.027405828410323</v>
      </c>
      <c r="U219" s="311">
        <f t="shared" ca="1" si="89"/>
        <v>0</v>
      </c>
      <c r="V219" s="306">
        <f t="shared" ca="1" si="90"/>
        <v>1.1252188471230191</v>
      </c>
      <c r="W219" s="304">
        <f t="shared" ca="1" si="91"/>
        <v>183.30589566096464</v>
      </c>
      <c r="Y219" s="314" t="str">
        <f t="shared" ca="1" si="109"/>
        <v/>
      </c>
      <c r="Z219" s="315" t="str">
        <f t="shared" ca="1" si="110"/>
        <v/>
      </c>
      <c r="AA219" s="316" t="str">
        <f t="shared" ca="1" si="111"/>
        <v/>
      </c>
      <c r="AC219" s="310" t="e">
        <f t="shared" ca="1" si="112"/>
        <v>#N/A</v>
      </c>
      <c r="AD219" s="323" t="e">
        <f t="shared" ca="1" si="113"/>
        <v>#N/A</v>
      </c>
      <c r="AE219" s="324">
        <f t="shared" ca="1" si="92"/>
        <v>849.12222535468266</v>
      </c>
      <c r="AG219" s="306">
        <f t="shared" ca="1" si="114"/>
        <v>54.897752853391438</v>
      </c>
      <c r="AH219" s="304">
        <f t="shared" ca="1" si="115"/>
        <v>64.598499680892431</v>
      </c>
    </row>
    <row r="220" spans="1:34" x14ac:dyDescent="0.2">
      <c r="A220" s="347">
        <f t="shared" ca="1" si="93"/>
        <v>0.01</v>
      </c>
      <c r="B220" s="304">
        <f t="shared" ca="1" si="94"/>
        <v>6.159999999999954</v>
      </c>
      <c r="D220" s="306">
        <f t="shared" ca="1" si="95"/>
        <v>9.5701685122129501</v>
      </c>
      <c r="E220" s="307">
        <f t="shared" ca="1" si="96"/>
        <v>53.757255097632516</v>
      </c>
      <c r="F220" s="304">
        <f t="shared" ca="1" si="97"/>
        <v>54.602477974759438</v>
      </c>
      <c r="G220" s="306">
        <f t="shared" ca="1" si="98"/>
        <v>46.797320272302294</v>
      </c>
      <c r="H220" s="307">
        <f t="shared" ca="1" si="99"/>
        <v>310.74043871943798</v>
      </c>
      <c r="I220" s="304">
        <f t="shared" ca="1" si="100"/>
        <v>314.24450582343871</v>
      </c>
      <c r="J220" s="306">
        <f t="shared" ca="1" si="101"/>
        <v>115.16387012580805</v>
      </c>
      <c r="K220" s="307">
        <f t="shared" ca="1" si="102"/>
        <v>852.22694187912214</v>
      </c>
      <c r="L220" s="304">
        <f t="shared" ca="1" si="87"/>
        <v>859.97295157870781</v>
      </c>
      <c r="M220" s="306">
        <f t="shared" ca="1" si="103"/>
        <v>1.4213202310814557</v>
      </c>
      <c r="N220" s="304">
        <f t="shared" ca="1" si="104"/>
        <v>81.435650577526303</v>
      </c>
      <c r="P220" s="310">
        <f t="shared" ca="1" si="105"/>
        <v>6</v>
      </c>
      <c r="Q220" s="304">
        <f t="shared" ca="1" si="106"/>
        <v>563.37000000000671</v>
      </c>
      <c r="R220" s="306">
        <f t="shared" ca="1" si="107"/>
        <v>0.28272915462235015</v>
      </c>
      <c r="S220" s="307">
        <f t="shared" ca="1" si="108"/>
        <v>5.9123007235822493</v>
      </c>
      <c r="T220" s="304">
        <f t="shared" ca="1" si="88"/>
        <v>57.999670098341866</v>
      </c>
      <c r="U220" s="311">
        <f t="shared" ca="1" si="89"/>
        <v>0</v>
      </c>
      <c r="V220" s="306">
        <f t="shared" ca="1" si="90"/>
        <v>1.1248689198317496</v>
      </c>
      <c r="W220" s="304">
        <f t="shared" ca="1" si="91"/>
        <v>183.88714410230395</v>
      </c>
      <c r="Y220" s="314" t="str">
        <f t="shared" ca="1" si="109"/>
        <v/>
      </c>
      <c r="Z220" s="315" t="str">
        <f t="shared" ca="1" si="110"/>
        <v/>
      </c>
      <c r="AA220" s="316" t="str">
        <f t="shared" ca="1" si="111"/>
        <v/>
      </c>
      <c r="AC220" s="310" t="e">
        <f t="shared" ca="1" si="112"/>
        <v>#N/A</v>
      </c>
      <c r="AD220" s="323" t="e">
        <f t="shared" ca="1" si="113"/>
        <v>#N/A</v>
      </c>
      <c r="AE220" s="324">
        <f t="shared" ca="1" si="92"/>
        <v>852.22694187912214</v>
      </c>
      <c r="AG220" s="306">
        <f t="shared" ca="1" si="114"/>
        <v>54.582943044938744</v>
      </c>
      <c r="AH220" s="304">
        <f t="shared" ca="1" si="115"/>
        <v>64.283621911025207</v>
      </c>
    </row>
    <row r="221" spans="1:34" x14ac:dyDescent="0.2">
      <c r="A221" s="347">
        <f t="shared" ca="1" si="93"/>
        <v>0.01</v>
      </c>
      <c r="B221" s="304">
        <f t="shared" ca="1" si="94"/>
        <v>6.1699999999999537</v>
      </c>
      <c r="D221" s="306">
        <f t="shared" ca="1" si="95"/>
        <v>9.5262511610550504</v>
      </c>
      <c r="E221" s="307">
        <f t="shared" ca="1" si="96"/>
        <v>53.445576343114602</v>
      </c>
      <c r="F221" s="304">
        <f t="shared" ca="1" si="97"/>
        <v>54.287927680389437</v>
      </c>
      <c r="G221" s="306">
        <f t="shared" ca="1" si="98"/>
        <v>46.892582783912843</v>
      </c>
      <c r="H221" s="307">
        <f t="shared" ca="1" si="99"/>
        <v>311.27489448286912</v>
      </c>
      <c r="I221" s="304">
        <f t="shared" ca="1" si="100"/>
        <v>314.78718883631115</v>
      </c>
      <c r="J221" s="306">
        <f t="shared" ca="1" si="101"/>
        <v>115.63231964108913</v>
      </c>
      <c r="K221" s="307">
        <f t="shared" ca="1" si="102"/>
        <v>855.33701854513367</v>
      </c>
      <c r="L221" s="304">
        <f t="shared" ca="1" si="87"/>
        <v>863.1177490002492</v>
      </c>
      <c r="M221" s="306">
        <f t="shared" ca="1" si="103"/>
        <v>1.4212738217566498</v>
      </c>
      <c r="N221" s="304">
        <f t="shared" ca="1" si="104"/>
        <v>81.432991519084879</v>
      </c>
      <c r="P221" s="310">
        <f t="shared" ca="1" si="105"/>
        <v>6</v>
      </c>
      <c r="Q221" s="304">
        <f t="shared" ca="1" si="106"/>
        <v>561.91000000000679</v>
      </c>
      <c r="R221" s="306">
        <f t="shared" ca="1" si="107"/>
        <v>0.28199644864626233</v>
      </c>
      <c r="S221" s="307">
        <f t="shared" ca="1" si="108"/>
        <v>5.9094807590957865</v>
      </c>
      <c r="T221" s="304">
        <f t="shared" ca="1" si="88"/>
        <v>57.97200624672967</v>
      </c>
      <c r="U221" s="311">
        <f t="shared" ca="1" si="89"/>
        <v>0</v>
      </c>
      <c r="V221" s="306">
        <f t="shared" ca="1" si="90"/>
        <v>1.1245184928648175</v>
      </c>
      <c r="W221" s="304">
        <f t="shared" ca="1" si="91"/>
        <v>184.4653346969076</v>
      </c>
      <c r="Y221" s="314" t="str">
        <f t="shared" ca="1" si="109"/>
        <v/>
      </c>
      <c r="Z221" s="315" t="str">
        <f t="shared" ca="1" si="110"/>
        <v/>
      </c>
      <c r="AA221" s="316" t="str">
        <f t="shared" ca="1" si="111"/>
        <v/>
      </c>
      <c r="AC221" s="310" t="e">
        <f t="shared" ca="1" si="112"/>
        <v>#N/A</v>
      </c>
      <c r="AD221" s="323" t="e">
        <f t="shared" ca="1" si="113"/>
        <v>#N/A</v>
      </c>
      <c r="AE221" s="324">
        <f t="shared" ca="1" si="92"/>
        <v>855.33701854513367</v>
      </c>
      <c r="AG221" s="306">
        <f t="shared" ca="1" si="114"/>
        <v>54.268267387410127</v>
      </c>
      <c r="AH221" s="304">
        <f t="shared" ca="1" si="115"/>
        <v>63.968878368180746</v>
      </c>
    </row>
    <row r="222" spans="1:34" x14ac:dyDescent="0.2">
      <c r="A222" s="347">
        <f t="shared" ca="1" si="93"/>
        <v>0.01</v>
      </c>
      <c r="B222" s="304">
        <f t="shared" ca="1" si="94"/>
        <v>6.1799999999999535</v>
      </c>
      <c r="D222" s="306">
        <f t="shared" ca="1" si="95"/>
        <v>9.4823213058779388</v>
      </c>
      <c r="E222" s="307">
        <f t="shared" ca="1" si="96"/>
        <v>53.134039093372508</v>
      </c>
      <c r="F222" s="304">
        <f t="shared" ca="1" si="97"/>
        <v>53.973516910832714</v>
      </c>
      <c r="G222" s="306">
        <f t="shared" ca="1" si="98"/>
        <v>46.987405996971624</v>
      </c>
      <c r="H222" s="307">
        <f t="shared" ca="1" si="99"/>
        <v>311.80623487380285</v>
      </c>
      <c r="I222" s="304">
        <f t="shared" ca="1" si="100"/>
        <v>315.32672647351251</v>
      </c>
      <c r="J222" s="306">
        <f t="shared" ca="1" si="101"/>
        <v>116.10171958499355</v>
      </c>
      <c r="K222" s="307">
        <f t="shared" ca="1" si="102"/>
        <v>858.45242419191709</v>
      </c>
      <c r="L222" s="304">
        <f t="shared" ca="1" si="87"/>
        <v>866.26795732704534</v>
      </c>
      <c r="M222" s="306">
        <f t="shared" ca="1" si="103"/>
        <v>1.4212274775630347</v>
      </c>
      <c r="N222" s="304">
        <f t="shared" ca="1" si="104"/>
        <v>81.430336192385795</v>
      </c>
      <c r="P222" s="310">
        <f t="shared" ca="1" si="105"/>
        <v>6</v>
      </c>
      <c r="Q222" s="304">
        <f t="shared" ca="1" si="106"/>
        <v>560.45000000000675</v>
      </c>
      <c r="R222" s="306">
        <f t="shared" ca="1" si="107"/>
        <v>0.2812637426701744</v>
      </c>
      <c r="S222" s="307">
        <f t="shared" ca="1" si="108"/>
        <v>5.9066681216690844</v>
      </c>
      <c r="T222" s="304">
        <f t="shared" ca="1" si="88"/>
        <v>57.94441427357372</v>
      </c>
      <c r="U222" s="311">
        <f t="shared" ca="1" si="89"/>
        <v>0</v>
      </c>
      <c r="V222" s="306">
        <f t="shared" ca="1" si="90"/>
        <v>1.1241675702253506</v>
      </c>
      <c r="W222" s="304">
        <f t="shared" ca="1" si="91"/>
        <v>185.04045222051397</v>
      </c>
      <c r="Y222" s="314" t="str">
        <f t="shared" ca="1" si="109"/>
        <v/>
      </c>
      <c r="Z222" s="315" t="str">
        <f t="shared" ca="1" si="110"/>
        <v/>
      </c>
      <c r="AA222" s="316" t="str">
        <f t="shared" ca="1" si="111"/>
        <v/>
      </c>
      <c r="AC222" s="310" t="e">
        <f t="shared" ca="1" si="112"/>
        <v>#N/A</v>
      </c>
      <c r="AD222" s="323" t="e">
        <f t="shared" ca="1" si="113"/>
        <v>#N/A</v>
      </c>
      <c r="AE222" s="324">
        <f t="shared" ca="1" si="92"/>
        <v>858.45242419191709</v>
      </c>
      <c r="AG222" s="306">
        <f t="shared" ca="1" si="114"/>
        <v>53.95372985744136</v>
      </c>
      <c r="AH222" s="304">
        <f t="shared" ca="1" si="115"/>
        <v>63.654273028100114</v>
      </c>
    </row>
    <row r="223" spans="1:34" x14ac:dyDescent="0.2">
      <c r="A223" s="347">
        <f t="shared" ca="1" si="93"/>
        <v>0.01</v>
      </c>
      <c r="B223" s="304">
        <f t="shared" ca="1" si="94"/>
        <v>6.1899999999999533</v>
      </c>
      <c r="D223" s="306">
        <f t="shared" ca="1" si="95"/>
        <v>9.4383796575987411</v>
      </c>
      <c r="E223" s="307">
        <f t="shared" ca="1" si="96"/>
        <v>52.822647236049377</v>
      </c>
      <c r="F223" s="304">
        <f t="shared" ca="1" si="97"/>
        <v>53.659249636806223</v>
      </c>
      <c r="G223" s="306">
        <f t="shared" ca="1" si="98"/>
        <v>47.081789793547614</v>
      </c>
      <c r="H223" s="307">
        <f t="shared" ca="1" si="99"/>
        <v>312.33446134616332</v>
      </c>
      <c r="I223" s="304">
        <f t="shared" ca="1" si="100"/>
        <v>315.86312015580705</v>
      </c>
      <c r="J223" s="306">
        <f t="shared" ca="1" si="101"/>
        <v>116.57206556394614</v>
      </c>
      <c r="K223" s="307">
        <f t="shared" ca="1" si="102"/>
        <v>861.57312767301687</v>
      </c>
      <c r="L223" s="304">
        <f t="shared" ca="1" si="87"/>
        <v>869.42354511372048</v>
      </c>
      <c r="M223" s="306">
        <f t="shared" ca="1" si="103"/>
        <v>1.4211811978375659</v>
      </c>
      <c r="N223" s="304">
        <f t="shared" ca="1" si="104"/>
        <v>81.427684559439399</v>
      </c>
      <c r="P223" s="310">
        <f t="shared" ca="1" si="105"/>
        <v>6</v>
      </c>
      <c r="Q223" s="304">
        <f t="shared" ca="1" si="106"/>
        <v>558.99000000000683</v>
      </c>
      <c r="R223" s="306">
        <f t="shared" ca="1" si="107"/>
        <v>0.28053103669408658</v>
      </c>
      <c r="S223" s="307">
        <f t="shared" ca="1" si="108"/>
        <v>5.9038628113021439</v>
      </c>
      <c r="T223" s="304">
        <f t="shared" ca="1" si="88"/>
        <v>57.916894178874031</v>
      </c>
      <c r="U223" s="311">
        <f t="shared" ca="1" si="89"/>
        <v>0</v>
      </c>
      <c r="V223" s="306">
        <f t="shared" ca="1" si="90"/>
        <v>1.1238161559111364</v>
      </c>
      <c r="W223" s="304">
        <f t="shared" ca="1" si="91"/>
        <v>185.61248165360911</v>
      </c>
      <c r="Y223" s="314" t="str">
        <f t="shared" ca="1" si="109"/>
        <v/>
      </c>
      <c r="Z223" s="315" t="str">
        <f t="shared" ca="1" si="110"/>
        <v/>
      </c>
      <c r="AA223" s="316" t="str">
        <f t="shared" ca="1" si="111"/>
        <v/>
      </c>
      <c r="AC223" s="310" t="e">
        <f t="shared" ca="1" si="112"/>
        <v>#N/A</v>
      </c>
      <c r="AD223" s="323" t="e">
        <f t="shared" ca="1" si="113"/>
        <v>#N/A</v>
      </c>
      <c r="AE223" s="324">
        <f t="shared" ca="1" si="92"/>
        <v>861.57312767301687</v>
      </c>
      <c r="AG223" s="306">
        <f t="shared" ca="1" si="114"/>
        <v>53.639334403471729</v>
      </c>
      <c r="AH223" s="304">
        <f t="shared" ca="1" si="115"/>
        <v>63.339809838334517</v>
      </c>
    </row>
    <row r="224" spans="1:34" x14ac:dyDescent="0.2">
      <c r="A224" s="347">
        <f t="shared" ca="1" si="93"/>
        <v>0.01</v>
      </c>
      <c r="B224" s="304">
        <f t="shared" ca="1" si="94"/>
        <v>6.1999999999999531</v>
      </c>
      <c r="D224" s="306">
        <f t="shared" ca="1" si="95"/>
        <v>9.3944269224249481</v>
      </c>
      <c r="E224" s="307">
        <f t="shared" ca="1" si="96"/>
        <v>52.511404630917646</v>
      </c>
      <c r="F224" s="304">
        <f t="shared" ca="1" si="97"/>
        <v>53.345129801254977</v>
      </c>
      <c r="G224" s="306">
        <f t="shared" ca="1" si="98"/>
        <v>47.175734062771866</v>
      </c>
      <c r="H224" s="307">
        <f t="shared" ca="1" si="99"/>
        <v>312.85957539247249</v>
      </c>
      <c r="I224" s="304">
        <f t="shared" ca="1" si="100"/>
        <v>316.39637134316121</v>
      </c>
      <c r="J224" s="306">
        <f t="shared" ca="1" si="101"/>
        <v>117.04335318322774</v>
      </c>
      <c r="K224" s="307">
        <f t="shared" ca="1" si="102"/>
        <v>864.69909785671007</v>
      </c>
      <c r="L224" s="304">
        <f t="shared" ca="1" si="87"/>
        <v>872.58448092925767</v>
      </c>
      <c r="M224" s="306">
        <f t="shared" ca="1" si="103"/>
        <v>1.421134981922503</v>
      </c>
      <c r="N224" s="304">
        <f t="shared" ca="1" si="104"/>
        <v>81.425036582559969</v>
      </c>
      <c r="P224" s="310">
        <f t="shared" ca="1" si="105"/>
        <v>6</v>
      </c>
      <c r="Q224" s="304">
        <f t="shared" ca="1" si="106"/>
        <v>557.53000000000679</v>
      </c>
      <c r="R224" s="306">
        <f t="shared" ca="1" si="107"/>
        <v>0.2797983307179987</v>
      </c>
      <c r="S224" s="307">
        <f t="shared" ca="1" si="108"/>
        <v>5.901064827994964</v>
      </c>
      <c r="T224" s="304">
        <f t="shared" ca="1" si="88"/>
        <v>57.889445962630603</v>
      </c>
      <c r="U224" s="311">
        <f t="shared" ca="1" si="89"/>
        <v>0</v>
      </c>
      <c r="V224" s="306">
        <f t="shared" ca="1" si="90"/>
        <v>1.1234642539145669</v>
      </c>
      <c r="W224" s="304">
        <f t="shared" ca="1" si="91"/>
        <v>186.18140818102182</v>
      </c>
      <c r="Y224" s="314" t="str">
        <f t="shared" ca="1" si="109"/>
        <v/>
      </c>
      <c r="Z224" s="315" t="str">
        <f t="shared" ca="1" si="110"/>
        <v/>
      </c>
      <c r="AA224" s="316" t="str">
        <f t="shared" ca="1" si="111"/>
        <v/>
      </c>
      <c r="AC224" s="310" t="e">
        <f t="shared" ca="1" si="112"/>
        <v>#N/A</v>
      </c>
      <c r="AD224" s="323" t="e">
        <f t="shared" ca="1" si="113"/>
        <v>#N/A</v>
      </c>
      <c r="AE224" s="324">
        <f t="shared" ca="1" si="92"/>
        <v>864.69909785671007</v>
      </c>
      <c r="AG224" s="306">
        <f t="shared" ca="1" si="114"/>
        <v>53.325084945694584</v>
      </c>
      <c r="AH224" s="304">
        <f t="shared" ca="1" si="115"/>
        <v>63.025492718195757</v>
      </c>
    </row>
    <row r="225" spans="1:34" x14ac:dyDescent="0.2">
      <c r="A225" s="347">
        <f t="shared" ca="1" si="93"/>
        <v>0.01</v>
      </c>
      <c r="B225" s="304">
        <f t="shared" ca="1" si="94"/>
        <v>6.2099999999999529</v>
      </c>
      <c r="D225" s="306">
        <f t="shared" ca="1" si="95"/>
        <v>9.3504638018520403</v>
      </c>
      <c r="E225" s="307">
        <f t="shared" ca="1" si="96"/>
        <v>52.200315109831891</v>
      </c>
      <c r="F225" s="304">
        <f t="shared" ca="1" si="97"/>
        <v>53.031161319317619</v>
      </c>
      <c r="G225" s="306">
        <f t="shared" ca="1" si="98"/>
        <v>47.269238700790389</v>
      </c>
      <c r="H225" s="307">
        <f t="shared" ca="1" si="99"/>
        <v>313.38157854357081</v>
      </c>
      <c r="I225" s="304">
        <f t="shared" ca="1" si="100"/>
        <v>316.92648153446021</v>
      </c>
      <c r="J225" s="306">
        <f t="shared" ca="1" si="101"/>
        <v>117.51557804704555</v>
      </c>
      <c r="K225" s="307">
        <f t="shared" ca="1" si="102"/>
        <v>867.83030362639033</v>
      </c>
      <c r="L225" s="304">
        <f t="shared" ca="1" si="87"/>
        <v>875.75073335738864</v>
      </c>
      <c r="M225" s="306">
        <f t="shared" ca="1" si="103"/>
        <v>1.4210888291653399</v>
      </c>
      <c r="N225" s="304">
        <f t="shared" ca="1" si="104"/>
        <v>81.42239222436163</v>
      </c>
      <c r="P225" s="310">
        <f t="shared" ca="1" si="105"/>
        <v>6</v>
      </c>
      <c r="Q225" s="304">
        <f t="shared" ca="1" si="106"/>
        <v>556.07000000000687</v>
      </c>
      <c r="R225" s="306">
        <f t="shared" ca="1" si="107"/>
        <v>0.27906562474191088</v>
      </c>
      <c r="S225" s="307">
        <f t="shared" ca="1" si="108"/>
        <v>5.8982741717475449</v>
      </c>
      <c r="T225" s="304">
        <f t="shared" ca="1" si="88"/>
        <v>57.862069624843421</v>
      </c>
      <c r="U225" s="311">
        <f t="shared" ca="1" si="89"/>
        <v>0</v>
      </c>
      <c r="V225" s="306">
        <f t="shared" ca="1" si="90"/>
        <v>1.1231118682225834</v>
      </c>
      <c r="W225" s="304">
        <f t="shared" ca="1" si="91"/>
        <v>186.74721719150449</v>
      </c>
      <c r="Y225" s="314" t="str">
        <f t="shared" ca="1" si="109"/>
        <v/>
      </c>
      <c r="Z225" s="315" t="str">
        <f t="shared" ca="1" si="110"/>
        <v/>
      </c>
      <c r="AA225" s="316" t="str">
        <f t="shared" ca="1" si="111"/>
        <v/>
      </c>
      <c r="AC225" s="310" t="e">
        <f t="shared" ca="1" si="112"/>
        <v>#N/A</v>
      </c>
      <c r="AD225" s="323" t="e">
        <f t="shared" ca="1" si="113"/>
        <v>#N/A</v>
      </c>
      <c r="AE225" s="324">
        <f t="shared" ca="1" si="92"/>
        <v>867.83030362639033</v>
      </c>
      <c r="AG225" s="306">
        <f t="shared" ca="1" si="114"/>
        <v>53.010985376010218</v>
      </c>
      <c r="AH225" s="304">
        <f t="shared" ca="1" si="115"/>
        <v>62.711325558709014</v>
      </c>
    </row>
    <row r="226" spans="1:34" x14ac:dyDescent="0.2">
      <c r="A226" s="347">
        <f t="shared" ca="1" si="93"/>
        <v>0.01</v>
      </c>
      <c r="B226" s="304">
        <f t="shared" ca="1" si="94"/>
        <v>6.2199999999999527</v>
      </c>
      <c r="D226" s="306">
        <f t="shared" ca="1" si="95"/>
        <v>9.3064909926614359</v>
      </c>
      <c r="E226" s="307">
        <f t="shared" ca="1" si="96"/>
        <v>51.88938247668451</v>
      </c>
      <c r="F226" s="304">
        <f t="shared" ca="1" si="97"/>
        <v>52.717348078295267</v>
      </c>
      <c r="G226" s="306">
        <f t="shared" ca="1" si="98"/>
        <v>47.362303610717007</v>
      </c>
      <c r="H226" s="307">
        <f t="shared" ca="1" si="99"/>
        <v>313.90047236833766</v>
      </c>
      <c r="I226" s="304">
        <f t="shared" ca="1" si="100"/>
        <v>317.45345226722492</v>
      </c>
      <c r="J226" s="306">
        <f t="shared" ca="1" si="101"/>
        <v>117.98873575860308</v>
      </c>
      <c r="K226" s="307">
        <f t="shared" ca="1" si="102"/>
        <v>870.9667138809499</v>
      </c>
      <c r="L226" s="304">
        <f t="shared" ca="1" si="87"/>
        <v>878.92227099698289</v>
      </c>
      <c r="M226" s="306">
        <f t="shared" ca="1" si="103"/>
        <v>1.4210427389187377</v>
      </c>
      <c r="N226" s="304">
        <f t="shared" ca="1" si="104"/>
        <v>81.419751447754606</v>
      </c>
      <c r="P226" s="310">
        <f t="shared" ca="1" si="105"/>
        <v>6</v>
      </c>
      <c r="Q226" s="304">
        <f t="shared" ca="1" si="106"/>
        <v>554.61000000000695</v>
      </c>
      <c r="R226" s="306">
        <f t="shared" ca="1" si="107"/>
        <v>0.278332918765823</v>
      </c>
      <c r="S226" s="307">
        <f t="shared" ca="1" si="108"/>
        <v>5.8954908425598864</v>
      </c>
      <c r="T226" s="304">
        <f t="shared" ca="1" si="88"/>
        <v>57.834765165512486</v>
      </c>
      <c r="U226" s="311">
        <f t="shared" ca="1" si="89"/>
        <v>0</v>
      </c>
      <c r="V226" s="306">
        <f t="shared" ca="1" si="90"/>
        <v>1.1227590028166197</v>
      </c>
      <c r="W226" s="304">
        <f t="shared" ca="1" si="91"/>
        <v>187.30989427730228</v>
      </c>
      <c r="Y226" s="314" t="str">
        <f t="shared" ca="1" si="109"/>
        <v/>
      </c>
      <c r="Z226" s="315" t="str">
        <f t="shared" ca="1" si="110"/>
        <v/>
      </c>
      <c r="AA226" s="316" t="str">
        <f t="shared" ca="1" si="111"/>
        <v/>
      </c>
      <c r="AC226" s="310" t="e">
        <f t="shared" ca="1" si="112"/>
        <v>#N/A</v>
      </c>
      <c r="AD226" s="323" t="e">
        <f t="shared" ca="1" si="113"/>
        <v>#N/A</v>
      </c>
      <c r="AE226" s="324">
        <f t="shared" ca="1" si="92"/>
        <v>870.9667138809499</v>
      </c>
      <c r="AG226" s="306">
        <f t="shared" ca="1" si="114"/>
        <v>52.697039557981569</v>
      </c>
      <c r="AH226" s="304">
        <f t="shared" ca="1" si="115"/>
        <v>62.397312222568466</v>
      </c>
    </row>
    <row r="227" spans="1:34" x14ac:dyDescent="0.2">
      <c r="A227" s="347">
        <f t="shared" ca="1" si="93"/>
        <v>0.01</v>
      </c>
      <c r="B227" s="304">
        <f t="shared" ca="1" si="94"/>
        <v>6.2299999999999525</v>
      </c>
      <c r="D227" s="306">
        <f t="shared" ca="1" si="95"/>
        <v>9.2625091869186029</v>
      </c>
      <c r="E227" s="307">
        <f t="shared" ca="1" si="96"/>
        <v>51.57861050736377</v>
      </c>
      <c r="F227" s="304">
        <f t="shared" ca="1" si="97"/>
        <v>52.40369393762321</v>
      </c>
      <c r="G227" s="306">
        <f t="shared" ca="1" si="98"/>
        <v>47.454928702586194</v>
      </c>
      <c r="H227" s="307">
        <f t="shared" ca="1" si="99"/>
        <v>314.41625847341129</v>
      </c>
      <c r="I227" s="304">
        <f t="shared" ca="1" si="100"/>
        <v>317.97728511732799</v>
      </c>
      <c r="J227" s="306">
        <f t="shared" ca="1" si="101"/>
        <v>118.4628219201696</v>
      </c>
      <c r="K227" s="307">
        <f t="shared" ca="1" si="102"/>
        <v>874.10829753515861</v>
      </c>
      <c r="L227" s="304">
        <f t="shared" ca="1" si="87"/>
        <v>882.09906246243293</v>
      </c>
      <c r="M227" s="306">
        <f t="shared" ca="1" si="103"/>
        <v>1.4209967105404582</v>
      </c>
      <c r="N227" s="304">
        <f t="shared" ca="1" si="104"/>
        <v>81.417114215941353</v>
      </c>
      <c r="P227" s="310">
        <f t="shared" ca="1" si="105"/>
        <v>6</v>
      </c>
      <c r="Q227" s="304">
        <f t="shared" ca="1" si="106"/>
        <v>553.15000000000691</v>
      </c>
      <c r="R227" s="306">
        <f t="shared" ca="1" si="107"/>
        <v>0.27760021278973512</v>
      </c>
      <c r="S227" s="307">
        <f t="shared" ca="1" si="108"/>
        <v>5.8927148404319887</v>
      </c>
      <c r="T227" s="304">
        <f t="shared" ca="1" si="88"/>
        <v>57.807532584637812</v>
      </c>
      <c r="U227" s="311">
        <f t="shared" ca="1" si="89"/>
        <v>0</v>
      </c>
      <c r="V227" s="306">
        <f t="shared" ca="1" si="90"/>
        <v>1.1224056616725506</v>
      </c>
      <c r="W227" s="304">
        <f t="shared" ca="1" si="91"/>
        <v>187.86942523370965</v>
      </c>
      <c r="Y227" s="314" t="str">
        <f t="shared" ca="1" si="109"/>
        <v/>
      </c>
      <c r="Z227" s="315" t="str">
        <f t="shared" ca="1" si="110"/>
        <v/>
      </c>
      <c r="AA227" s="316" t="str">
        <f t="shared" ca="1" si="111"/>
        <v/>
      </c>
      <c r="AC227" s="310" t="e">
        <f t="shared" ca="1" si="112"/>
        <v>#N/A</v>
      </c>
      <c r="AD227" s="323" t="e">
        <f t="shared" ca="1" si="113"/>
        <v>#N/A</v>
      </c>
      <c r="AE227" s="324">
        <f t="shared" ca="1" si="92"/>
        <v>874.10829753515861</v>
      </c>
      <c r="AG227" s="306">
        <f t="shared" ca="1" si="114"/>
        <v>52.383251326792234</v>
      </c>
      <c r="AH227" s="304">
        <f t="shared" ca="1" si="115"/>
        <v>62.083456544095263</v>
      </c>
    </row>
    <row r="228" spans="1:34" x14ac:dyDescent="0.2">
      <c r="A228" s="347">
        <f t="shared" ca="1" si="93"/>
        <v>0.01</v>
      </c>
      <c r="B228" s="304">
        <f t="shared" ca="1" si="94"/>
        <v>6.2399999999999523</v>
      </c>
      <c r="D228" s="306">
        <f t="shared" ca="1" si="95"/>
        <v>9.2185190719714516</v>
      </c>
      <c r="E228" s="307">
        <f t="shared" ca="1" si="96"/>
        <v>51.268002949714457</v>
      </c>
      <c r="F228" s="304">
        <f t="shared" ca="1" si="97"/>
        <v>52.090202728845583</v>
      </c>
      <c r="G228" s="306">
        <f t="shared" ca="1" si="98"/>
        <v>47.547113893305912</v>
      </c>
      <c r="H228" s="307">
        <f t="shared" ca="1" si="99"/>
        <v>314.92893850290841</v>
      </c>
      <c r="I228" s="304">
        <f t="shared" ca="1" si="100"/>
        <v>318.49798169870979</v>
      </c>
      <c r="J228" s="306">
        <f t="shared" ca="1" si="101"/>
        <v>118.93783213314906</v>
      </c>
      <c r="K228" s="307">
        <f t="shared" ca="1" si="102"/>
        <v>877.25502352004025</v>
      </c>
      <c r="L228" s="304">
        <f t="shared" ca="1" si="87"/>
        <v>885.28107638403719</v>
      </c>
      <c r="M228" s="306">
        <f t="shared" ca="1" si="103"/>
        <v>1.4209507433932966</v>
      </c>
      <c r="N228" s="304">
        <f t="shared" ca="1" si="104"/>
        <v>81.414480492412736</v>
      </c>
      <c r="P228" s="310">
        <f t="shared" ca="1" si="105"/>
        <v>6</v>
      </c>
      <c r="Q228" s="304">
        <f t="shared" ca="1" si="106"/>
        <v>551.69000000000699</v>
      </c>
      <c r="R228" s="306">
        <f t="shared" ca="1" si="107"/>
        <v>0.2768675068136473</v>
      </c>
      <c r="S228" s="307">
        <f t="shared" ca="1" si="108"/>
        <v>5.8899461653638525</v>
      </c>
      <c r="T228" s="304">
        <f t="shared" ca="1" si="88"/>
        <v>57.780371882219399</v>
      </c>
      <c r="U228" s="311">
        <f t="shared" ca="1" si="89"/>
        <v>0</v>
      </c>
      <c r="V228" s="306">
        <f t="shared" ca="1" si="90"/>
        <v>1.1220518487606368</v>
      </c>
      <c r="W228" s="304">
        <f t="shared" ca="1" si="91"/>
        <v>188.42579605861448</v>
      </c>
      <c r="Y228" s="314" t="str">
        <f t="shared" ca="1" si="109"/>
        <v/>
      </c>
      <c r="Z228" s="315" t="str">
        <f t="shared" ca="1" si="110"/>
        <v/>
      </c>
      <c r="AA228" s="316" t="str">
        <f t="shared" ca="1" si="111"/>
        <v/>
      </c>
      <c r="AC228" s="310" t="e">
        <f t="shared" ca="1" si="112"/>
        <v>#N/A</v>
      </c>
      <c r="AD228" s="323" t="e">
        <f t="shared" ca="1" si="113"/>
        <v>#N/A</v>
      </c>
      <c r="AE228" s="324">
        <f t="shared" ca="1" si="92"/>
        <v>877.25502352004025</v>
      </c>
      <c r="AG228" s="306">
        <f t="shared" ca="1" si="114"/>
        <v>52.069624489207285</v>
      </c>
      <c r="AH228" s="304">
        <f t="shared" ca="1" si="115"/>
        <v>61.769762329198173</v>
      </c>
    </row>
    <row r="229" spans="1:34" x14ac:dyDescent="0.2">
      <c r="A229" s="347">
        <f t="shared" ca="1" si="93"/>
        <v>0.01</v>
      </c>
      <c r="B229" s="304">
        <f t="shared" ca="1" si="94"/>
        <v>6.249999999999952</v>
      </c>
      <c r="D229" s="306">
        <f t="shared" ca="1" si="95"/>
        <v>9.1745213304490143</v>
      </c>
      <c r="E229" s="307">
        <f t="shared" ca="1" si="96"/>
        <v>50.957563523500873</v>
      </c>
      <c r="F229" s="304">
        <f t="shared" ca="1" si="97"/>
        <v>51.776878255592919</v>
      </c>
      <c r="G229" s="306">
        <f t="shared" ca="1" si="98"/>
        <v>47.638859106610404</v>
      </c>
      <c r="H229" s="307">
        <f t="shared" ca="1" si="99"/>
        <v>315.43851413814343</v>
      </c>
      <c r="I229" s="304">
        <f t="shared" ca="1" si="100"/>
        <v>319.01554366309364</v>
      </c>
      <c r="J229" s="306">
        <f t="shared" ca="1" si="101"/>
        <v>119.41376199814864</v>
      </c>
      <c r="K229" s="307">
        <f t="shared" ca="1" si="102"/>
        <v>880.40686078324552</v>
      </c>
      <c r="L229" s="304">
        <f t="shared" ca="1" si="87"/>
        <v>888.46828140837954</v>
      </c>
      <c r="M229" s="306">
        <f t="shared" ca="1" si="103"/>
        <v>1.420904836845019</v>
      </c>
      <c r="N229" s="304">
        <f t="shared" ca="1" si="104"/>
        <v>81.411850240944418</v>
      </c>
      <c r="P229" s="310">
        <f t="shared" ca="1" si="105"/>
        <v>6</v>
      </c>
      <c r="Q229" s="304">
        <f t="shared" ca="1" si="106"/>
        <v>550.23000000000695</v>
      </c>
      <c r="R229" s="306">
        <f t="shared" ca="1" si="107"/>
        <v>0.27613480083755937</v>
      </c>
      <c r="S229" s="307">
        <f t="shared" ca="1" si="108"/>
        <v>5.8871848173554771</v>
      </c>
      <c r="T229" s="304">
        <f t="shared" ca="1" si="88"/>
        <v>57.753283058257232</v>
      </c>
      <c r="U229" s="311">
        <f t="shared" ca="1" si="89"/>
        <v>0</v>
      </c>
      <c r="V229" s="306">
        <f t="shared" ca="1" si="90"/>
        <v>1.1216975680454706</v>
      </c>
      <c r="W229" s="304">
        <f t="shared" ca="1" si="91"/>
        <v>188.97899295202973</v>
      </c>
      <c r="Y229" s="314" t="str">
        <f t="shared" ca="1" si="109"/>
        <v/>
      </c>
      <c r="Z229" s="315" t="str">
        <f t="shared" ca="1" si="110"/>
        <v/>
      </c>
      <c r="AA229" s="316" t="str">
        <f t="shared" ca="1" si="111"/>
        <v/>
      </c>
      <c r="AC229" s="310" t="e">
        <f t="shared" ca="1" si="112"/>
        <v>#N/A</v>
      </c>
      <c r="AD229" s="323" t="e">
        <f t="shared" ca="1" si="113"/>
        <v>#N/A</v>
      </c>
      <c r="AE229" s="324">
        <f t="shared" ca="1" si="92"/>
        <v>880.40686078324552</v>
      </c>
      <c r="AG229" s="306">
        <f t="shared" ca="1" si="114"/>
        <v>51.756162823536215</v>
      </c>
      <c r="AH229" s="304">
        <f t="shared" ca="1" si="115"/>
        <v>61.456233355336529</v>
      </c>
    </row>
    <row r="230" spans="1:34" x14ac:dyDescent="0.2">
      <c r="A230" s="347">
        <f t="shared" ca="1" si="93"/>
        <v>0.01</v>
      </c>
      <c r="B230" s="304">
        <f t="shared" ca="1" si="94"/>
        <v>6.2599999999999518</v>
      </c>
      <c r="D230" s="306">
        <f t="shared" ca="1" si="95"/>
        <v>9.130516640260236</v>
      </c>
      <c r="E230" s="307">
        <f t="shared" ca="1" si="96"/>
        <v>50.647295920372606</v>
      </c>
      <c r="F230" s="304">
        <f t="shared" ca="1" si="97"/>
        <v>51.463724293562947</v>
      </c>
      <c r="G230" s="306">
        <f t="shared" ca="1" si="98"/>
        <v>47.73016427301301</v>
      </c>
      <c r="H230" s="307">
        <f t="shared" ca="1" si="99"/>
        <v>315.94498709734717</v>
      </c>
      <c r="I230" s="304">
        <f t="shared" ca="1" si="100"/>
        <v>319.52997269970103</v>
      </c>
      <c r="J230" s="306">
        <f t="shared" ca="1" si="101"/>
        <v>119.89060711504676</v>
      </c>
      <c r="K230" s="307">
        <f t="shared" ca="1" si="102"/>
        <v>883.563778289423</v>
      </c>
      <c r="L230" s="304">
        <f t="shared" ca="1" si="87"/>
        <v>891.66064619870667</v>
      </c>
      <c r="M230" s="306">
        <f t="shared" ca="1" si="103"/>
        <v>1.4208589902682962</v>
      </c>
      <c r="N230" s="304">
        <f t="shared" ca="1" si="104"/>
        <v>81.409223425593083</v>
      </c>
      <c r="P230" s="310">
        <f t="shared" ca="1" si="105"/>
        <v>6</v>
      </c>
      <c r="Q230" s="304">
        <f t="shared" ca="1" si="106"/>
        <v>548.77000000000703</v>
      </c>
      <c r="R230" s="306">
        <f t="shared" ca="1" si="107"/>
        <v>0.27540209486147155</v>
      </c>
      <c r="S230" s="307">
        <f t="shared" ca="1" si="108"/>
        <v>5.8844307964068623</v>
      </c>
      <c r="T230" s="304">
        <f t="shared" ca="1" si="88"/>
        <v>57.726266112751325</v>
      </c>
      <c r="U230" s="311">
        <f t="shared" ca="1" si="89"/>
        <v>0</v>
      </c>
      <c r="V230" s="306">
        <f t="shared" ca="1" si="90"/>
        <v>1.1213428234859253</v>
      </c>
      <c r="W230" s="304">
        <f t="shared" ca="1" si="91"/>
        <v>189.52900231561378</v>
      </c>
      <c r="Y230" s="314" t="str">
        <f t="shared" ca="1" si="109"/>
        <v/>
      </c>
      <c r="Z230" s="315" t="str">
        <f t="shared" ca="1" si="110"/>
        <v/>
      </c>
      <c r="AA230" s="316" t="str">
        <f t="shared" ca="1" si="111"/>
        <v/>
      </c>
      <c r="AC230" s="310" t="e">
        <f t="shared" ca="1" si="112"/>
        <v>#N/A</v>
      </c>
      <c r="AD230" s="323" t="e">
        <f t="shared" ca="1" si="113"/>
        <v>#N/A</v>
      </c>
      <c r="AE230" s="324">
        <f t="shared" ca="1" si="92"/>
        <v>883.563778289423</v>
      </c>
      <c r="AG230" s="306">
        <f t="shared" ca="1" si="114"/>
        <v>51.442870079598819</v>
      </c>
      <c r="AH230" s="304">
        <f t="shared" ca="1" si="115"/>
        <v>61.142873371486004</v>
      </c>
    </row>
    <row r="231" spans="1:34" x14ac:dyDescent="0.2">
      <c r="A231" s="347">
        <f t="shared" ca="1" si="93"/>
        <v>0.01</v>
      </c>
      <c r="B231" s="304">
        <f t="shared" ca="1" si="94"/>
        <v>6.2699999999999516</v>
      </c>
      <c r="D231" s="306">
        <f t="shared" ca="1" si="95"/>
        <v>9.0865056745931696</v>
      </c>
      <c r="E231" s="307">
        <f t="shared" ca="1" si="96"/>
        <v>50.337203803832367</v>
      </c>
      <c r="F231" s="304">
        <f t="shared" ca="1" si="97"/>
        <v>51.150744590503955</v>
      </c>
      <c r="G231" s="306">
        <f t="shared" ca="1" si="98"/>
        <v>47.821029329758943</v>
      </c>
      <c r="H231" s="307">
        <f t="shared" ca="1" si="99"/>
        <v>316.44835913538549</v>
      </c>
      <c r="I231" s="304">
        <f t="shared" ca="1" si="100"/>
        <v>320.04127053496643</v>
      </c>
      <c r="J231" s="306">
        <f t="shared" ca="1" si="101"/>
        <v>120.36836308306063</v>
      </c>
      <c r="K231" s="307">
        <f t="shared" ca="1" si="102"/>
        <v>886.72574502058671</v>
      </c>
      <c r="L231" s="304">
        <f t="shared" ca="1" si="87"/>
        <v>894.85813943530184</v>
      </c>
      <c r="M231" s="306">
        <f t="shared" ca="1" si="103"/>
        <v>1.4208132030406422</v>
      </c>
      <c r="N231" s="304">
        <f t="shared" ca="1" si="104"/>
        <v>81.406600010692898</v>
      </c>
      <c r="P231" s="310">
        <f t="shared" ca="1" si="105"/>
        <v>6</v>
      </c>
      <c r="Q231" s="304">
        <f t="shared" ca="1" si="106"/>
        <v>547.31000000000699</v>
      </c>
      <c r="R231" s="306">
        <f t="shared" ca="1" si="107"/>
        <v>0.27466938888538367</v>
      </c>
      <c r="S231" s="307">
        <f t="shared" ca="1" si="108"/>
        <v>5.8816841025180082</v>
      </c>
      <c r="T231" s="304">
        <f t="shared" ca="1" si="88"/>
        <v>57.699321045701666</v>
      </c>
      <c r="U231" s="311">
        <f t="shared" ca="1" si="89"/>
        <v>0</v>
      </c>
      <c r="V231" s="306">
        <f t="shared" ca="1" si="90"/>
        <v>1.1209876190351014</v>
      </c>
      <c r="W231" s="304">
        <f t="shared" ca="1" si="91"/>
        <v>190.0758107521782</v>
      </c>
      <c r="Y231" s="314" t="str">
        <f t="shared" ca="1" si="109"/>
        <v/>
      </c>
      <c r="Z231" s="315" t="str">
        <f t="shared" ca="1" si="110"/>
        <v/>
      </c>
      <c r="AA231" s="316" t="str">
        <f t="shared" ca="1" si="111"/>
        <v/>
      </c>
      <c r="AC231" s="310" t="e">
        <f t="shared" ca="1" si="112"/>
        <v>#N/A</v>
      </c>
      <c r="AD231" s="323" t="e">
        <f t="shared" ca="1" si="113"/>
        <v>#N/A</v>
      </c>
      <c r="AE231" s="324">
        <f t="shared" ca="1" si="92"/>
        <v>886.72574502058671</v>
      </c>
      <c r="AG231" s="306">
        <f t="shared" ca="1" si="114"/>
        <v>51.12974997869312</v>
      </c>
      <c r="AH231" s="304">
        <f t="shared" ca="1" si="115"/>
        <v>60.829686098106421</v>
      </c>
    </row>
    <row r="232" spans="1:34" x14ac:dyDescent="0.2">
      <c r="A232" s="347">
        <f t="shared" ca="1" si="93"/>
        <v>0.01</v>
      </c>
      <c r="B232" s="304">
        <f t="shared" ca="1" si="94"/>
        <v>6.2799999999999514</v>
      </c>
      <c r="D232" s="306">
        <f t="shared" ca="1" si="95"/>
        <v>9.0424891019143079</v>
      </c>
      <c r="E232" s="307">
        <f t="shared" ca="1" si="96"/>
        <v>50.027290809206711</v>
      </c>
      <c r="F232" s="304">
        <f t="shared" ca="1" si="97"/>
        <v>50.837942866201594</v>
      </c>
      <c r="G232" s="306">
        <f t="shared" ca="1" si="98"/>
        <v>47.911454220778083</v>
      </c>
      <c r="H232" s="307">
        <f t="shared" ca="1" si="99"/>
        <v>316.94863204347757</v>
      </c>
      <c r="I232" s="304">
        <f t="shared" ca="1" si="100"/>
        <v>320.54943893225186</v>
      </c>
      <c r="J232" s="306">
        <f t="shared" ca="1" si="101"/>
        <v>120.84702550081332</v>
      </c>
      <c r="K232" s="307">
        <f t="shared" ca="1" si="102"/>
        <v>889.89272997648106</v>
      </c>
      <c r="L232" s="304">
        <f t="shared" ca="1" si="87"/>
        <v>898.06072981585635</v>
      </c>
      <c r="M232" s="306">
        <f t="shared" ca="1" si="103"/>
        <v>1.4207674745443517</v>
      </c>
      <c r="N232" s="304">
        <f t="shared" ca="1" si="104"/>
        <v>81.40397996085197</v>
      </c>
      <c r="P232" s="310">
        <f t="shared" ca="1" si="105"/>
        <v>6</v>
      </c>
      <c r="Q232" s="304">
        <f t="shared" ca="1" si="106"/>
        <v>545.85000000000707</v>
      </c>
      <c r="R232" s="306">
        <f t="shared" ca="1" si="107"/>
        <v>0.27393668290929585</v>
      </c>
      <c r="S232" s="307">
        <f t="shared" ca="1" si="108"/>
        <v>5.8789447356889148</v>
      </c>
      <c r="T232" s="304">
        <f t="shared" ca="1" si="88"/>
        <v>57.67244785710826</v>
      </c>
      <c r="U232" s="311">
        <f t="shared" ca="1" si="89"/>
        <v>0</v>
      </c>
      <c r="V232" s="306">
        <f t="shared" ca="1" si="90"/>
        <v>1.1206319586402764</v>
      </c>
      <c r="W232" s="304">
        <f t="shared" ca="1" si="91"/>
        <v>190.61940506518459</v>
      </c>
      <c r="Y232" s="314" t="str">
        <f t="shared" ca="1" si="109"/>
        <v/>
      </c>
      <c r="Z232" s="315" t="str">
        <f t="shared" ca="1" si="110"/>
        <v/>
      </c>
      <c r="AA232" s="316" t="str">
        <f t="shared" ca="1" si="111"/>
        <v/>
      </c>
      <c r="AC232" s="310" t="e">
        <f t="shared" ca="1" si="112"/>
        <v>#N/A</v>
      </c>
      <c r="AD232" s="323" t="e">
        <f t="shared" ca="1" si="113"/>
        <v>#N/A</v>
      </c>
      <c r="AE232" s="324">
        <f t="shared" ca="1" si="92"/>
        <v>889.89272997648106</v>
      </c>
      <c r="AG232" s="306">
        <f t="shared" ca="1" si="114"/>
        <v>50.816806213566146</v>
      </c>
      <c r="AH232" s="304">
        <f t="shared" ca="1" si="115"/>
        <v>60.516675227112515</v>
      </c>
    </row>
    <row r="233" spans="1:34" x14ac:dyDescent="0.2">
      <c r="A233" s="347">
        <f t="shared" ca="1" si="93"/>
        <v>0.01</v>
      </c>
      <c r="B233" s="304">
        <f t="shared" ca="1" si="94"/>
        <v>6.2899999999999512</v>
      </c>
      <c r="D233" s="306">
        <f t="shared" ca="1" si="95"/>
        <v>8.9984675859681662</v>
      </c>
      <c r="E233" s="307">
        <f t="shared" ca="1" si="96"/>
        <v>49.717560543618731</v>
      </c>
      <c r="F233" s="304">
        <f t="shared" ca="1" si="97"/>
        <v>50.525322812468147</v>
      </c>
      <c r="G233" s="306">
        <f t="shared" ca="1" si="98"/>
        <v>48.001438896637765</v>
      </c>
      <c r="H233" s="307">
        <f t="shared" ca="1" si="99"/>
        <v>317.44580764891379</v>
      </c>
      <c r="I233" s="304">
        <f t="shared" ca="1" si="100"/>
        <v>321.0544796915608</v>
      </c>
      <c r="J233" s="306">
        <f t="shared" ca="1" si="101"/>
        <v>121.32658996640039</v>
      </c>
      <c r="K233" s="307">
        <f t="shared" ca="1" si="102"/>
        <v>893.06470217494302</v>
      </c>
      <c r="L233" s="304">
        <f t="shared" ca="1" si="87"/>
        <v>901.26838605583782</v>
      </c>
      <c r="M233" s="306">
        <f t="shared" ca="1" si="103"/>
        <v>1.4207218041664391</v>
      </c>
      <c r="N233" s="304">
        <f t="shared" ca="1" si="104"/>
        <v>81.401363240948825</v>
      </c>
      <c r="P233" s="310">
        <f t="shared" ca="1" si="105"/>
        <v>6</v>
      </c>
      <c r="Q233" s="304">
        <f t="shared" ca="1" si="106"/>
        <v>544.39000000000715</v>
      </c>
      <c r="R233" s="306">
        <f t="shared" ca="1" si="107"/>
        <v>0.27320397693320797</v>
      </c>
      <c r="S233" s="307">
        <f t="shared" ca="1" si="108"/>
        <v>5.8762126959195831</v>
      </c>
      <c r="T233" s="304">
        <f t="shared" ca="1" si="88"/>
        <v>57.645646546971115</v>
      </c>
      <c r="U233" s="311">
        <f t="shared" ca="1" si="89"/>
        <v>0</v>
      </c>
      <c r="V233" s="306">
        <f t="shared" ca="1" si="90"/>
        <v>1.1202758462428521</v>
      </c>
      <c r="W233" s="304">
        <f t="shared" ca="1" si="91"/>
        <v>191.15977225822874</v>
      </c>
      <c r="Y233" s="314" t="str">
        <f t="shared" ca="1" si="109"/>
        <v/>
      </c>
      <c r="Z233" s="315" t="str">
        <f t="shared" ca="1" si="110"/>
        <v/>
      </c>
      <c r="AA233" s="316" t="str">
        <f t="shared" ca="1" si="111"/>
        <v/>
      </c>
      <c r="AC233" s="310" t="e">
        <f t="shared" ca="1" si="112"/>
        <v>#N/A</v>
      </c>
      <c r="AD233" s="323" t="e">
        <f t="shared" ca="1" si="113"/>
        <v>#N/A</v>
      </c>
      <c r="AE233" s="324">
        <f t="shared" ca="1" si="92"/>
        <v>893.06470217494302</v>
      </c>
      <c r="AG233" s="306">
        <f t="shared" ca="1" si="114"/>
        <v>50.504042448386748</v>
      </c>
      <c r="AH233" s="304">
        <f t="shared" ca="1" si="115"/>
        <v>60.203844421846632</v>
      </c>
    </row>
    <row r="234" spans="1:34" x14ac:dyDescent="0.2">
      <c r="A234" s="347">
        <f t="shared" ca="1" si="93"/>
        <v>0.01</v>
      </c>
      <c r="B234" s="304">
        <f t="shared" ca="1" si="94"/>
        <v>6.299999999999951</v>
      </c>
      <c r="D234" s="306">
        <f t="shared" ca="1" si="95"/>
        <v>8.9544417857771723</v>
      </c>
      <c r="E234" s="307">
        <f t="shared" ca="1" si="96"/>
        <v>49.408016585963637</v>
      </c>
      <c r="F234" s="304">
        <f t="shared" ca="1" si="97"/>
        <v>50.212888093135319</v>
      </c>
      <c r="G234" s="306">
        <f t="shared" ca="1" si="98"/>
        <v>48.090983314495539</v>
      </c>
      <c r="H234" s="307">
        <f t="shared" ca="1" si="99"/>
        <v>317.93988781477344</v>
      </c>
      <c r="I234" s="304">
        <f t="shared" ca="1" si="100"/>
        <v>321.55639464925247</v>
      </c>
      <c r="J234" s="306">
        <f t="shared" ca="1" si="101"/>
        <v>121.80705207745606</v>
      </c>
      <c r="K234" s="307">
        <f t="shared" ca="1" si="102"/>
        <v>896.24163065226151</v>
      </c>
      <c r="L234" s="304">
        <f t="shared" ca="1" si="87"/>
        <v>904.48107688885602</v>
      </c>
      <c r="M234" s="306">
        <f t="shared" ca="1" si="103"/>
        <v>1.4206761912985784</v>
      </c>
      <c r="N234" s="304">
        <f t="shared" ca="1" si="104"/>
        <v>81.398749816128912</v>
      </c>
      <c r="P234" s="310">
        <f t="shared" ca="1" si="105"/>
        <v>6</v>
      </c>
      <c r="Q234" s="304">
        <f t="shared" ca="1" si="106"/>
        <v>542.93000000000711</v>
      </c>
      <c r="R234" s="306">
        <f t="shared" ca="1" si="107"/>
        <v>0.27247127095712009</v>
      </c>
      <c r="S234" s="307">
        <f t="shared" ca="1" si="108"/>
        <v>5.873487983210012</v>
      </c>
      <c r="T234" s="304">
        <f t="shared" ca="1" si="88"/>
        <v>57.618917115290223</v>
      </c>
      <c r="U234" s="311">
        <f t="shared" ca="1" si="89"/>
        <v>0</v>
      </c>
      <c r="V234" s="306">
        <f t="shared" ca="1" si="90"/>
        <v>1.1199192857783058</v>
      </c>
      <c r="W234" s="304">
        <f t="shared" ca="1" si="91"/>
        <v>191.69689953451461</v>
      </c>
      <c r="Y234" s="314" t="str">
        <f t="shared" ca="1" si="109"/>
        <v/>
      </c>
      <c r="Z234" s="315" t="str">
        <f t="shared" ca="1" si="110"/>
        <v/>
      </c>
      <c r="AA234" s="316" t="str">
        <f t="shared" ca="1" si="111"/>
        <v/>
      </c>
      <c r="AC234" s="310" t="e">
        <f t="shared" ca="1" si="112"/>
        <v>#N/A</v>
      </c>
      <c r="AD234" s="323" t="e">
        <f t="shared" ca="1" si="113"/>
        <v>#N/A</v>
      </c>
      <c r="AE234" s="324">
        <f t="shared" ca="1" si="92"/>
        <v>896.24163065226151</v>
      </c>
      <c r="AG234" s="306">
        <f t="shared" ca="1" si="114"/>
        <v>50.191462318721278</v>
      </c>
      <c r="AH234" s="304">
        <f t="shared" ca="1" si="115"/>
        <v>59.891197317054342</v>
      </c>
    </row>
    <row r="235" spans="1:34" x14ac:dyDescent="0.2">
      <c r="A235" s="347">
        <f t="shared" ca="1" si="93"/>
        <v>0.01</v>
      </c>
      <c r="B235" s="304">
        <f t="shared" ca="1" si="94"/>
        <v>6.3099999999999508</v>
      </c>
      <c r="D235" s="306">
        <f t="shared" ca="1" si="95"/>
        <v>8.9104123556417285</v>
      </c>
      <c r="E235" s="307">
        <f t="shared" ca="1" si="96"/>
        <v>49.09866248688639</v>
      </c>
      <c r="F235" s="304">
        <f t="shared" ca="1" si="97"/>
        <v>49.900642344049615</v>
      </c>
      <c r="G235" s="306">
        <f t="shared" ca="1" si="98"/>
        <v>48.180087438051956</v>
      </c>
      <c r="H235" s="307">
        <f t="shared" ca="1" si="99"/>
        <v>318.43087443964231</v>
      </c>
      <c r="I235" s="304">
        <f t="shared" ca="1" si="100"/>
        <v>322.0551856777555</v>
      </c>
      <c r="J235" s="306">
        <f t="shared" ca="1" si="101"/>
        <v>122.2884074312188</v>
      </c>
      <c r="K235" s="307">
        <f t="shared" ca="1" si="102"/>
        <v>899.42348446353355</v>
      </c>
      <c r="L235" s="304">
        <f t="shared" ca="1" si="87"/>
        <v>907.69877106702529</v>
      </c>
      <c r="M235" s="306">
        <f t="shared" ca="1" si="103"/>
        <v>1.420630635337043</v>
      </c>
      <c r="N235" s="304">
        <f t="shared" ca="1" si="104"/>
        <v>81.396139651801278</v>
      </c>
      <c r="P235" s="310">
        <f t="shared" ca="1" si="105"/>
        <v>6</v>
      </c>
      <c r="Q235" s="304">
        <f t="shared" ca="1" si="106"/>
        <v>541.47000000000719</v>
      </c>
      <c r="R235" s="306">
        <f t="shared" ca="1" si="107"/>
        <v>0.27173856498103227</v>
      </c>
      <c r="S235" s="307">
        <f t="shared" ca="1" si="108"/>
        <v>5.8707705975602016</v>
      </c>
      <c r="T235" s="304">
        <f t="shared" ca="1" si="88"/>
        <v>57.592259562065578</v>
      </c>
      <c r="U235" s="311">
        <f t="shared" ca="1" si="89"/>
        <v>0</v>
      </c>
      <c r="V235" s="306">
        <f t="shared" ca="1" si="90"/>
        <v>1.1195622811761394</v>
      </c>
      <c r="W235" s="304">
        <f t="shared" ca="1" si="91"/>
        <v>192.2307742963165</v>
      </c>
      <c r="Y235" s="314" t="str">
        <f t="shared" ca="1" si="109"/>
        <v/>
      </c>
      <c r="Z235" s="315" t="str">
        <f t="shared" ca="1" si="110"/>
        <v/>
      </c>
      <c r="AA235" s="316" t="str">
        <f t="shared" ca="1" si="111"/>
        <v/>
      </c>
      <c r="AC235" s="310" t="e">
        <f t="shared" ca="1" si="112"/>
        <v>#N/A</v>
      </c>
      <c r="AD235" s="323" t="e">
        <f t="shared" ca="1" si="113"/>
        <v>#N/A</v>
      </c>
      <c r="AE235" s="324">
        <f t="shared" ca="1" si="92"/>
        <v>899.42348446353355</v>
      </c>
      <c r="AG235" s="306">
        <f t="shared" ca="1" si="114"/>
        <v>49.87906943151134</v>
      </c>
      <c r="AH235" s="304">
        <f t="shared" ca="1" si="115"/>
        <v>59.57873751886212</v>
      </c>
    </row>
    <row r="236" spans="1:34" x14ac:dyDescent="0.2">
      <c r="A236" s="347">
        <f t="shared" ca="1" si="93"/>
        <v>0.01</v>
      </c>
      <c r="B236" s="304">
        <f t="shared" ca="1" si="94"/>
        <v>6.3199999999999505</v>
      </c>
      <c r="D236" s="306">
        <f t="shared" ca="1" si="95"/>
        <v>8.866379945140574</v>
      </c>
      <c r="E236" s="307">
        <f t="shared" ca="1" si="96"/>
        <v>48.789501768761745</v>
      </c>
      <c r="F236" s="304">
        <f t="shared" ca="1" si="97"/>
        <v>49.588589173070815</v>
      </c>
      <c r="G236" s="306">
        <f t="shared" ca="1" si="98"/>
        <v>48.268751237503359</v>
      </c>
      <c r="H236" s="307">
        <f t="shared" ca="1" si="99"/>
        <v>318.91876945732992</v>
      </c>
      <c r="I236" s="304">
        <f t="shared" ca="1" si="100"/>
        <v>322.55085468528142</v>
      </c>
      <c r="J236" s="306">
        <f t="shared" ca="1" si="101"/>
        <v>122.77065162459658</v>
      </c>
      <c r="K236" s="307">
        <f t="shared" ca="1" si="102"/>
        <v>902.61023268301847</v>
      </c>
      <c r="L236" s="304">
        <f t="shared" ca="1" si="87"/>
        <v>910.92143736132414</v>
      </c>
      <c r="M236" s="306">
        <f t="shared" ca="1" si="103"/>
        <v>1.4205851356826487</v>
      </c>
      <c r="N236" s="304">
        <f t="shared" ca="1" si="104"/>
        <v>81.393532713635167</v>
      </c>
      <c r="P236" s="310">
        <f t="shared" ca="1" si="105"/>
        <v>6</v>
      </c>
      <c r="Q236" s="304">
        <f t="shared" ca="1" si="106"/>
        <v>540.01000000000715</v>
      </c>
      <c r="R236" s="306">
        <f t="shared" ca="1" si="107"/>
        <v>0.27100585900494439</v>
      </c>
      <c r="S236" s="307">
        <f t="shared" ca="1" si="108"/>
        <v>5.8680605389701519</v>
      </c>
      <c r="T236" s="304">
        <f t="shared" ca="1" si="88"/>
        <v>57.565673887297194</v>
      </c>
      <c r="U236" s="311">
        <f t="shared" ca="1" si="89"/>
        <v>0</v>
      </c>
      <c r="V236" s="306">
        <f t="shared" ca="1" si="90"/>
        <v>1.1192048363598299</v>
      </c>
      <c r="W236" s="304">
        <f t="shared" ca="1" si="91"/>
        <v>192.76138414442985</v>
      </c>
      <c r="Y236" s="314" t="str">
        <f t="shared" ca="1" si="109"/>
        <v/>
      </c>
      <c r="Z236" s="315" t="str">
        <f t="shared" ca="1" si="110"/>
        <v/>
      </c>
      <c r="AA236" s="316" t="str">
        <f t="shared" ca="1" si="111"/>
        <v/>
      </c>
      <c r="AC236" s="310" t="e">
        <f t="shared" ca="1" si="112"/>
        <v>#N/A</v>
      </c>
      <c r="AD236" s="323" t="e">
        <f t="shared" ca="1" si="113"/>
        <v>#N/A</v>
      </c>
      <c r="AE236" s="324">
        <f t="shared" ca="1" si="92"/>
        <v>902.61023268301847</v>
      </c>
      <c r="AG236" s="306">
        <f t="shared" ca="1" si="114"/>
        <v>49.566867365053987</v>
      </c>
      <c r="AH236" s="304">
        <f t="shared" ca="1" si="115"/>
        <v>59.266468604757463</v>
      </c>
    </row>
    <row r="237" spans="1:34" x14ac:dyDescent="0.2">
      <c r="A237" s="347">
        <f t="shared" ca="1" si="93"/>
        <v>0.01</v>
      </c>
      <c r="B237" s="304">
        <f t="shared" ca="1" si="94"/>
        <v>6.3299999999999503</v>
      </c>
      <c r="D237" s="306">
        <f t="shared" ca="1" si="95"/>
        <v>8.8223451991313482</v>
      </c>
      <c r="E237" s="307">
        <f t="shared" ca="1" si="96"/>
        <v>48.480537925676892</v>
      </c>
      <c r="F237" s="304">
        <f t="shared" ca="1" si="97"/>
        <v>49.276732160073593</v>
      </c>
      <c r="G237" s="306">
        <f t="shared" ca="1" si="98"/>
        <v>48.35697468949467</v>
      </c>
      <c r="H237" s="307">
        <f t="shared" ca="1" si="99"/>
        <v>319.4035748365867</v>
      </c>
      <c r="I237" s="304">
        <f t="shared" ca="1" si="100"/>
        <v>323.04340361553812</v>
      </c>
      <c r="J237" s="306">
        <f t="shared" ca="1" si="101"/>
        <v>123.25378025423157</v>
      </c>
      <c r="K237" s="307">
        <f t="shared" ca="1" si="102"/>
        <v>905.80184440448807</v>
      </c>
      <c r="L237" s="304">
        <f t="shared" ca="1" si="87"/>
        <v>914.14904456195256</v>
      </c>
      <c r="M237" s="306">
        <f t="shared" ca="1" si="103"/>
        <v>1.4205396917406943</v>
      </c>
      <c r="N237" s="304">
        <f t="shared" ca="1" si="104"/>
        <v>81.390928967556746</v>
      </c>
      <c r="P237" s="310">
        <f t="shared" ca="1" si="105"/>
        <v>6</v>
      </c>
      <c r="Q237" s="304">
        <f t="shared" ca="1" si="106"/>
        <v>538.55000000000723</v>
      </c>
      <c r="R237" s="306">
        <f t="shared" ca="1" si="107"/>
        <v>0.27027315302885652</v>
      </c>
      <c r="S237" s="307">
        <f t="shared" ca="1" si="108"/>
        <v>5.8653578074398629</v>
      </c>
      <c r="T237" s="304">
        <f t="shared" ca="1" si="88"/>
        <v>57.539160090985057</v>
      </c>
      <c r="U237" s="311">
        <f t="shared" ca="1" si="89"/>
        <v>0</v>
      </c>
      <c r="V237" s="306">
        <f t="shared" ca="1" si="90"/>
        <v>1.1188469552467812</v>
      </c>
      <c r="W237" s="304">
        <f t="shared" ca="1" si="91"/>
        <v>193.28871687761182</v>
      </c>
      <c r="Y237" s="314" t="str">
        <f t="shared" ca="1" si="109"/>
        <v/>
      </c>
      <c r="Z237" s="315" t="str">
        <f t="shared" ca="1" si="110"/>
        <v/>
      </c>
      <c r="AA237" s="316" t="str">
        <f t="shared" ca="1" si="111"/>
        <v/>
      </c>
      <c r="AC237" s="310" t="e">
        <f t="shared" ca="1" si="112"/>
        <v>#N/A</v>
      </c>
      <c r="AD237" s="323" t="e">
        <f t="shared" ca="1" si="113"/>
        <v>#N/A</v>
      </c>
      <c r="AE237" s="324">
        <f t="shared" ca="1" si="92"/>
        <v>905.80184440448807</v>
      </c>
      <c r="AG237" s="306">
        <f t="shared" ca="1" si="114"/>
        <v>49.25485966898448</v>
      </c>
      <c r="AH237" s="304">
        <f t="shared" ca="1" si="115"/>
        <v>58.954394123571589</v>
      </c>
    </row>
    <row r="238" spans="1:34" x14ac:dyDescent="0.2">
      <c r="A238" s="347">
        <f t="shared" ca="1" si="93"/>
        <v>0.01</v>
      </c>
      <c r="B238" s="304">
        <f t="shared" ca="1" si="94"/>
        <v>6.3399999999999501</v>
      </c>
      <c r="D238" s="306">
        <f t="shared" ca="1" si="95"/>
        <v>8.7783087577514234</v>
      </c>
      <c r="E238" s="307">
        <f t="shared" ca="1" si="96"/>
        <v>48.171774423416089</v>
      </c>
      <c r="F238" s="304">
        <f t="shared" ca="1" si="97"/>
        <v>48.965074856951865</v>
      </c>
      <c r="G238" s="306">
        <f t="shared" ca="1" si="98"/>
        <v>48.444757777072184</v>
      </c>
      <c r="H238" s="307">
        <f t="shared" ca="1" si="99"/>
        <v>319.88529258082087</v>
      </c>
      <c r="I238" s="304">
        <f t="shared" ca="1" si="100"/>
        <v>323.53283444744301</v>
      </c>
      <c r="J238" s="306">
        <f t="shared" ca="1" si="101"/>
        <v>123.73778891656441</v>
      </c>
      <c r="K238" s="307">
        <f t="shared" ca="1" si="102"/>
        <v>908.99828874157515</v>
      </c>
      <c r="L238" s="304">
        <f t="shared" ca="1" si="87"/>
        <v>917.38156147868608</v>
      </c>
      <c r="M238" s="306">
        <f t="shared" ca="1" si="103"/>
        <v>1.4204943029209061</v>
      </c>
      <c r="N238" s="304">
        <f t="shared" ca="1" si="104"/>
        <v>81.388328379745801</v>
      </c>
      <c r="P238" s="310">
        <f t="shared" ca="1" si="105"/>
        <v>6</v>
      </c>
      <c r="Q238" s="304">
        <f t="shared" ca="1" si="106"/>
        <v>537.09000000000731</v>
      </c>
      <c r="R238" s="306">
        <f t="shared" ca="1" si="107"/>
        <v>0.26954044705276869</v>
      </c>
      <c r="S238" s="307">
        <f t="shared" ca="1" si="108"/>
        <v>5.8626624029693355</v>
      </c>
      <c r="T238" s="304">
        <f t="shared" ca="1" si="88"/>
        <v>57.512718173129187</v>
      </c>
      <c r="U238" s="311">
        <f t="shared" ca="1" si="89"/>
        <v>0</v>
      </c>
      <c r="V238" s="306">
        <f t="shared" ca="1" si="90"/>
        <v>1.1184886417482751</v>
      </c>
      <c r="W238" s="304">
        <f t="shared" ca="1" si="91"/>
        <v>193.81276049201043</v>
      </c>
      <c r="Y238" s="314" t="str">
        <f t="shared" ca="1" si="109"/>
        <v/>
      </c>
      <c r="Z238" s="315" t="str">
        <f t="shared" ca="1" si="110"/>
        <v/>
      </c>
      <c r="AA238" s="316" t="str">
        <f t="shared" ca="1" si="111"/>
        <v/>
      </c>
      <c r="AC238" s="310" t="e">
        <f t="shared" ca="1" si="112"/>
        <v>#N/A</v>
      </c>
      <c r="AD238" s="323" t="e">
        <f t="shared" ca="1" si="113"/>
        <v>#N/A</v>
      </c>
      <c r="AE238" s="324">
        <f t="shared" ca="1" si="92"/>
        <v>908.99828874157515</v>
      </c>
      <c r="AG238" s="306">
        <f t="shared" ca="1" si="114"/>
        <v>48.943049864261113</v>
      </c>
      <c r="AH238" s="304">
        <f t="shared" ca="1" si="115"/>
        <v>58.642517595464163</v>
      </c>
    </row>
    <row r="239" spans="1:34" x14ac:dyDescent="0.2">
      <c r="A239" s="347">
        <f t="shared" ca="1" si="93"/>
        <v>0.01</v>
      </c>
      <c r="B239" s="304">
        <f t="shared" ca="1" si="94"/>
        <v>6.3499999999999499</v>
      </c>
      <c r="D239" s="306">
        <f t="shared" ca="1" si="95"/>
        <v>8.7342712564189711</v>
      </c>
      <c r="E239" s="307">
        <f t="shared" ca="1" si="96"/>
        <v>47.863214699447958</v>
      </c>
      <c r="F239" s="304">
        <f t="shared" ca="1" si="97"/>
        <v>48.653620787626458</v>
      </c>
      <c r="G239" s="306">
        <f t="shared" ca="1" si="98"/>
        <v>48.53210048963637</v>
      </c>
      <c r="H239" s="307">
        <f t="shared" ca="1" si="99"/>
        <v>320.36392472781534</v>
      </c>
      <c r="I239" s="304">
        <f t="shared" ca="1" si="100"/>
        <v>324.01914919483619</v>
      </c>
      <c r="J239" s="306">
        <f t="shared" ca="1" si="101"/>
        <v>124.22267320789796</v>
      </c>
      <c r="K239" s="307">
        <f t="shared" ca="1" si="102"/>
        <v>912.19953482811832</v>
      </c>
      <c r="L239" s="304">
        <f t="shared" ca="1" si="87"/>
        <v>920.61895694122643</v>
      </c>
      <c r="M239" s="306">
        <f t="shared" ca="1" si="103"/>
        <v>1.4204489686373813</v>
      </c>
      <c r="N239" s="304">
        <f t="shared" ca="1" si="104"/>
        <v>81.385730916632596</v>
      </c>
      <c r="P239" s="310">
        <f t="shared" ca="1" si="105"/>
        <v>6</v>
      </c>
      <c r="Q239" s="304">
        <f t="shared" ca="1" si="106"/>
        <v>535.63000000000727</v>
      </c>
      <c r="R239" s="306">
        <f t="shared" ca="1" si="107"/>
        <v>0.26880774107668082</v>
      </c>
      <c r="S239" s="307">
        <f t="shared" ca="1" si="108"/>
        <v>5.8599743255585688</v>
      </c>
      <c r="T239" s="304">
        <f t="shared" ca="1" si="88"/>
        <v>57.486348133729564</v>
      </c>
      <c r="U239" s="311">
        <f t="shared" ca="1" si="89"/>
        <v>0</v>
      </c>
      <c r="V239" s="306">
        <f t="shared" ca="1" si="90"/>
        <v>1.1181298997694238</v>
      </c>
      <c r="W239" s="304">
        <f t="shared" ca="1" si="91"/>
        <v>194.33350318058356</v>
      </c>
      <c r="Y239" s="314" t="str">
        <f t="shared" ca="1" si="109"/>
        <v/>
      </c>
      <c r="Z239" s="315" t="str">
        <f t="shared" ca="1" si="110"/>
        <v/>
      </c>
      <c r="AA239" s="316" t="str">
        <f t="shared" ca="1" si="111"/>
        <v/>
      </c>
      <c r="AC239" s="310" t="e">
        <f t="shared" ca="1" si="112"/>
        <v>#N/A</v>
      </c>
      <c r="AD239" s="323" t="e">
        <f t="shared" ca="1" si="113"/>
        <v>#N/A</v>
      </c>
      <c r="AE239" s="324">
        <f t="shared" ca="1" si="92"/>
        <v>912.19953482811832</v>
      </c>
      <c r="AG239" s="306">
        <f t="shared" ca="1" si="114"/>
        <v>48.631441443152625</v>
      </c>
      <c r="AH239" s="304">
        <f t="shared" ca="1" si="115"/>
        <v>58.330842511910681</v>
      </c>
    </row>
    <row r="240" spans="1:34" x14ac:dyDescent="0.2">
      <c r="A240" s="347">
        <f t="shared" ca="1" si="93"/>
        <v>0.01</v>
      </c>
      <c r="B240" s="304">
        <f t="shared" ca="1" si="94"/>
        <v>6.3599999999999497</v>
      </c>
      <c r="D240" s="306">
        <f t="shared" ca="1" si="95"/>
        <v>8.6902333258342619</v>
      </c>
      <c r="E240" s="307">
        <f t="shared" ca="1" si="96"/>
        <v>47.554862162914802</v>
      </c>
      <c r="F240" s="304">
        <f t="shared" ca="1" si="97"/>
        <v>48.342373448055554</v>
      </c>
      <c r="G240" s="306">
        <f t="shared" ca="1" si="98"/>
        <v>48.619002822894714</v>
      </c>
      <c r="H240" s="307">
        <f t="shared" ca="1" si="99"/>
        <v>320.83947334944452</v>
      </c>
      <c r="I240" s="304">
        <f t="shared" ca="1" si="100"/>
        <v>324.50234990619339</v>
      </c>
      <c r="J240" s="306">
        <f t="shared" ca="1" si="101"/>
        <v>124.70842872446062</v>
      </c>
      <c r="K240" s="307">
        <f t="shared" ca="1" si="102"/>
        <v>915.40555181850459</v>
      </c>
      <c r="L240" s="304">
        <f t="shared" ca="1" si="87"/>
        <v>923.86119979955038</v>
      </c>
      <c r="M240" s="306">
        <f t="shared" ca="1" si="103"/>
        <v>1.4204036883085325</v>
      </c>
      <c r="N240" s="304">
        <f t="shared" ca="1" si="104"/>
        <v>81.383136544894583</v>
      </c>
      <c r="P240" s="310">
        <f t="shared" ca="1" si="105"/>
        <v>6</v>
      </c>
      <c r="Q240" s="304">
        <f t="shared" ca="1" si="106"/>
        <v>534.17000000000735</v>
      </c>
      <c r="R240" s="306">
        <f t="shared" ca="1" si="107"/>
        <v>0.26807503510059294</v>
      </c>
      <c r="S240" s="307">
        <f t="shared" ca="1" si="108"/>
        <v>5.8572935752075628</v>
      </c>
      <c r="T240" s="304">
        <f t="shared" ca="1" si="88"/>
        <v>57.460049972786194</v>
      </c>
      <c r="U240" s="311">
        <f t="shared" ca="1" si="89"/>
        <v>0</v>
      </c>
      <c r="V240" s="306">
        <f t="shared" ca="1" si="90"/>
        <v>1.1177707332091229</v>
      </c>
      <c r="W240" s="304">
        <f t="shared" ca="1" si="91"/>
        <v>194.85093333250722</v>
      </c>
      <c r="Y240" s="314" t="str">
        <f t="shared" ca="1" si="109"/>
        <v/>
      </c>
      <c r="Z240" s="315" t="str">
        <f t="shared" ca="1" si="110"/>
        <v/>
      </c>
      <c r="AA240" s="316" t="str">
        <f t="shared" ca="1" si="111"/>
        <v/>
      </c>
      <c r="AC240" s="310" t="e">
        <f t="shared" ca="1" si="112"/>
        <v>#N/A</v>
      </c>
      <c r="AD240" s="323" t="e">
        <f t="shared" ca="1" si="113"/>
        <v>#N/A</v>
      </c>
      <c r="AE240" s="324">
        <f t="shared" ca="1" si="92"/>
        <v>915.40555181850459</v>
      </c>
      <c r="AG240" s="306">
        <f t="shared" ca="1" si="114"/>
        <v>48.320037869227775</v>
      </c>
      <c r="AH240" s="304">
        <f t="shared" ca="1" si="115"/>
        <v>58.019372335691941</v>
      </c>
    </row>
    <row r="241" spans="1:34" x14ac:dyDescent="0.2">
      <c r="A241" s="347">
        <f t="shared" ca="1" si="93"/>
        <v>0.01</v>
      </c>
      <c r="B241" s="304">
        <f t="shared" ca="1" si="94"/>
        <v>6.3699999999999495</v>
      </c>
      <c r="D241" s="306">
        <f t="shared" ca="1" si="95"/>
        <v>8.6461955919812681</v>
      </c>
      <c r="E241" s="307">
        <f t="shared" ca="1" si="96"/>
        <v>47.246720194624388</v>
      </c>
      <c r="F241" s="304">
        <f t="shared" ca="1" si="97"/>
        <v>48.031336306248278</v>
      </c>
      <c r="G241" s="306">
        <f t="shared" ca="1" si="98"/>
        <v>48.70546477881453</v>
      </c>
      <c r="H241" s="307">
        <f t="shared" ca="1" si="99"/>
        <v>321.31194055139076</v>
      </c>
      <c r="I241" s="304">
        <f t="shared" ca="1" si="100"/>
        <v>324.98243866433893</v>
      </c>
      <c r="J241" s="306">
        <f t="shared" ca="1" si="101"/>
        <v>125.19505106246916</v>
      </c>
      <c r="K241" s="307">
        <f t="shared" ca="1" si="102"/>
        <v>918.6163088880088</v>
      </c>
      <c r="L241" s="304">
        <f t="shared" ca="1" si="87"/>
        <v>927.10825892425521</v>
      </c>
      <c r="M241" s="306">
        <f t="shared" ca="1" si="103"/>
        <v>1.4203584613570339</v>
      </c>
      <c r="N241" s="304">
        <f t="shared" ca="1" si="104"/>
        <v>81.380545231453468</v>
      </c>
      <c r="P241" s="310">
        <f t="shared" ca="1" si="105"/>
        <v>6</v>
      </c>
      <c r="Q241" s="304">
        <f t="shared" ca="1" si="106"/>
        <v>532.71000000000731</v>
      </c>
      <c r="R241" s="306">
        <f t="shared" ca="1" si="107"/>
        <v>0.26734232912450506</v>
      </c>
      <c r="S241" s="307">
        <f t="shared" ca="1" si="108"/>
        <v>5.8546201519163175</v>
      </c>
      <c r="T241" s="304">
        <f t="shared" ca="1" si="88"/>
        <v>57.433823690299079</v>
      </c>
      <c r="U241" s="311">
        <f t="shared" ca="1" si="89"/>
        <v>0</v>
      </c>
      <c r="V241" s="306">
        <f t="shared" ca="1" si="90"/>
        <v>1.1174111459600045</v>
      </c>
      <c r="W241" s="304">
        <f t="shared" ca="1" si="91"/>
        <v>195.36503953257358</v>
      </c>
      <c r="Y241" s="314" t="str">
        <f t="shared" ca="1" si="109"/>
        <v/>
      </c>
      <c r="Z241" s="315" t="str">
        <f t="shared" ca="1" si="110"/>
        <v/>
      </c>
      <c r="AA241" s="316" t="str">
        <f t="shared" ca="1" si="111"/>
        <v/>
      </c>
      <c r="AC241" s="310" t="e">
        <f t="shared" ca="1" si="112"/>
        <v>#N/A</v>
      </c>
      <c r="AD241" s="323" t="e">
        <f t="shared" ca="1" si="113"/>
        <v>#N/A</v>
      </c>
      <c r="AE241" s="324">
        <f t="shared" ca="1" si="92"/>
        <v>918.6163088880088</v>
      </c>
      <c r="AG241" s="306">
        <f t="shared" ca="1" si="114"/>
        <v>48.008842577347238</v>
      </c>
      <c r="AH241" s="304">
        <f t="shared" ca="1" si="115"/>
        <v>57.708110500885873</v>
      </c>
    </row>
    <row r="242" spans="1:34" x14ac:dyDescent="0.2">
      <c r="A242" s="347">
        <f t="shared" ca="1" si="93"/>
        <v>0.01</v>
      </c>
      <c r="B242" s="304">
        <f t="shared" ca="1" si="94"/>
        <v>6.3799999999999493</v>
      </c>
      <c r="D242" s="306">
        <f t="shared" ca="1" si="95"/>
        <v>8.6021586761293811</v>
      </c>
      <c r="E242" s="307">
        <f t="shared" ca="1" si="96"/>
        <v>46.938792147043934</v>
      </c>
      <c r="F242" s="304">
        <f t="shared" ca="1" si="97"/>
        <v>47.720512802281377</v>
      </c>
      <c r="G242" s="306">
        <f t="shared" ca="1" si="98"/>
        <v>48.791486365575821</v>
      </c>
      <c r="H242" s="307">
        <f t="shared" ca="1" si="99"/>
        <v>321.78132847286122</v>
      </c>
      <c r="I242" s="304">
        <f t="shared" ca="1" si="100"/>
        <v>325.45941758615862</v>
      </c>
      <c r="J242" s="306">
        <f t="shared" ca="1" si="101"/>
        <v>125.68253581819111</v>
      </c>
      <c r="K242" s="307">
        <f t="shared" ca="1" si="102"/>
        <v>921.83177523313009</v>
      </c>
      <c r="L242" s="304">
        <f t="shared" ca="1" si="87"/>
        <v>930.3601032069007</v>
      </c>
      <c r="M242" s="306">
        <f t="shared" ca="1" si="103"/>
        <v>1.4203132872097666</v>
      </c>
      <c r="N242" s="304">
        <f t="shared" ca="1" si="104"/>
        <v>81.377956943471958</v>
      </c>
      <c r="P242" s="310">
        <f t="shared" ca="1" si="105"/>
        <v>6</v>
      </c>
      <c r="Q242" s="304">
        <f t="shared" ca="1" si="106"/>
        <v>531.25000000000739</v>
      </c>
      <c r="R242" s="306">
        <f t="shared" ca="1" si="107"/>
        <v>0.26660962314841724</v>
      </c>
      <c r="S242" s="307">
        <f t="shared" ca="1" si="108"/>
        <v>5.8519540556848328</v>
      </c>
      <c r="T242" s="304">
        <f t="shared" ca="1" si="88"/>
        <v>57.407669286268217</v>
      </c>
      <c r="U242" s="311">
        <f t="shared" ca="1" si="89"/>
        <v>0</v>
      </c>
      <c r="V242" s="306">
        <f t="shared" ca="1" si="90"/>
        <v>1.1170511419083904</v>
      </c>
      <c r="W242" s="304">
        <f t="shared" ca="1" si="91"/>
        <v>195.8758105605788</v>
      </c>
      <c r="Y242" s="314" t="str">
        <f t="shared" ca="1" si="109"/>
        <v/>
      </c>
      <c r="Z242" s="315" t="str">
        <f t="shared" ca="1" si="110"/>
        <v/>
      </c>
      <c r="AA242" s="316" t="str">
        <f t="shared" ca="1" si="111"/>
        <v/>
      </c>
      <c r="AC242" s="310" t="e">
        <f t="shared" ca="1" si="112"/>
        <v>#N/A</v>
      </c>
      <c r="AD242" s="323" t="e">
        <f t="shared" ca="1" si="113"/>
        <v>#N/A</v>
      </c>
      <c r="AE242" s="324">
        <f t="shared" ca="1" si="92"/>
        <v>921.83177523313009</v>
      </c>
      <c r="AG242" s="306">
        <f t="shared" ca="1" si="114"/>
        <v>47.697858973657887</v>
      </c>
      <c r="AH242" s="304">
        <f t="shared" ca="1" si="115"/>
        <v>57.397060412861769</v>
      </c>
    </row>
    <row r="243" spans="1:34" x14ac:dyDescent="0.2">
      <c r="A243" s="347">
        <f t="shared" ca="1" si="93"/>
        <v>0.01</v>
      </c>
      <c r="B243" s="304">
        <f t="shared" ca="1" si="94"/>
        <v>6.3899999999999491</v>
      </c>
      <c r="D243" s="306">
        <f t="shared" ca="1" si="95"/>
        <v>8.558123194835547</v>
      </c>
      <c r="E243" s="307">
        <f t="shared" ca="1" si="96"/>
        <v>46.631081344296312</v>
      </c>
      <c r="F243" s="304">
        <f t="shared" ca="1" si="97"/>
        <v>47.409906348318827</v>
      </c>
      <c r="G243" s="306">
        <f t="shared" ca="1" si="98"/>
        <v>48.877067597524174</v>
      </c>
      <c r="H243" s="307">
        <f t="shared" ca="1" si="99"/>
        <v>322.24763928630421</v>
      </c>
      <c r="I243" s="304">
        <f t="shared" ca="1" si="100"/>
        <v>325.93328882231248</v>
      </c>
      <c r="J243" s="306">
        <f t="shared" ca="1" si="101"/>
        <v>126.17087858800662</v>
      </c>
      <c r="K243" s="307">
        <f t="shared" ca="1" si="102"/>
        <v>925.05192007192591</v>
      </c>
      <c r="L243" s="304">
        <f t="shared" ca="1" si="87"/>
        <v>933.61670156034927</v>
      </c>
      <c r="M243" s="306">
        <f t="shared" ca="1" si="103"/>
        <v>1.4202681652977667</v>
      </c>
      <c r="N243" s="304">
        <f t="shared" ca="1" si="104"/>
        <v>81.375371648350793</v>
      </c>
      <c r="P243" s="310">
        <f t="shared" ca="1" si="105"/>
        <v>6</v>
      </c>
      <c r="Q243" s="304">
        <f t="shared" ca="1" si="106"/>
        <v>529.79000000000747</v>
      </c>
      <c r="R243" s="306">
        <f t="shared" ca="1" si="107"/>
        <v>0.26587691717232942</v>
      </c>
      <c r="S243" s="307">
        <f t="shared" ca="1" si="108"/>
        <v>5.8492952865131098</v>
      </c>
      <c r="T243" s="304">
        <f t="shared" ca="1" si="88"/>
        <v>57.381586760693608</v>
      </c>
      <c r="U243" s="311">
        <f t="shared" ca="1" si="89"/>
        <v>0</v>
      </c>
      <c r="V243" s="306">
        <f t="shared" ca="1" si="90"/>
        <v>1.1166907249342479</v>
      </c>
      <c r="W243" s="304">
        <f t="shared" ca="1" si="91"/>
        <v>196.38323539070117</v>
      </c>
      <c r="Y243" s="314" t="str">
        <f t="shared" ca="1" si="109"/>
        <v/>
      </c>
      <c r="Z243" s="315" t="str">
        <f t="shared" ca="1" si="110"/>
        <v/>
      </c>
      <c r="AA243" s="316" t="str">
        <f t="shared" ca="1" si="111"/>
        <v/>
      </c>
      <c r="AC243" s="310" t="e">
        <f t="shared" ca="1" si="112"/>
        <v>#N/A</v>
      </c>
      <c r="AD243" s="323" t="e">
        <f t="shared" ca="1" si="113"/>
        <v>#N/A</v>
      </c>
      <c r="AE243" s="324">
        <f t="shared" ca="1" si="92"/>
        <v>925.05192007192591</v>
      </c>
      <c r="AG243" s="306">
        <f t="shared" ca="1" si="114"/>
        <v>47.387090435589116</v>
      </c>
      <c r="AH243" s="304">
        <f t="shared" ca="1" si="115"/>
        <v>57.086225448276537</v>
      </c>
    </row>
    <row r="244" spans="1:34" x14ac:dyDescent="0.2">
      <c r="A244" s="347">
        <f t="shared" ca="1" si="93"/>
        <v>0.01</v>
      </c>
      <c r="B244" s="304">
        <f t="shared" ca="1" si="94"/>
        <v>6.3999999999999488</v>
      </c>
      <c r="D244" s="306">
        <f t="shared" ca="1" si="95"/>
        <v>8.5140897599464456</v>
      </c>
      <c r="E244" s="307">
        <f t="shared" ca="1" si="96"/>
        <v>46.323591082158458</v>
      </c>
      <c r="F244" s="304">
        <f t="shared" ca="1" si="97"/>
        <v>47.099520328634512</v>
      </c>
      <c r="G244" s="306">
        <f t="shared" ca="1" si="98"/>
        <v>48.96220849512364</v>
      </c>
      <c r="H244" s="307">
        <f t="shared" ca="1" si="99"/>
        <v>322.7108751971258</v>
      </c>
      <c r="I244" s="304">
        <f t="shared" ca="1" si="100"/>
        <v>326.40405455694764</v>
      </c>
      <c r="J244" s="306">
        <f t="shared" ca="1" si="101"/>
        <v>126.66007496846986</v>
      </c>
      <c r="K244" s="307">
        <f t="shared" ca="1" si="102"/>
        <v>928.27671264434309</v>
      </c>
      <c r="L244" s="304">
        <f t="shared" ca="1" si="87"/>
        <v>936.8780229191027</v>
      </c>
      <c r="M244" s="306">
        <f t="shared" ca="1" si="103"/>
        <v>1.4202230950561723</v>
      </c>
      <c r="N244" s="304">
        <f t="shared" ca="1" si="104"/>
        <v>81.372789313725804</v>
      </c>
      <c r="P244" s="310">
        <f t="shared" ca="1" si="105"/>
        <v>6</v>
      </c>
      <c r="Q244" s="304">
        <f t="shared" ca="1" si="106"/>
        <v>528.33000000000743</v>
      </c>
      <c r="R244" s="306">
        <f t="shared" ca="1" si="107"/>
        <v>0.26514421119624149</v>
      </c>
      <c r="S244" s="307">
        <f t="shared" ca="1" si="108"/>
        <v>5.8466438444011475</v>
      </c>
      <c r="T244" s="304">
        <f t="shared" ca="1" si="88"/>
        <v>57.35557611357526</v>
      </c>
      <c r="U244" s="311">
        <f t="shared" ca="1" si="89"/>
        <v>0</v>
      </c>
      <c r="V244" s="306">
        <f t="shared" ca="1" si="90"/>
        <v>1.1163298989111425</v>
      </c>
      <c r="W244" s="304">
        <f t="shared" ca="1" si="91"/>
        <v>196.88730319086875</v>
      </c>
      <c r="Y244" s="314" t="str">
        <f t="shared" ca="1" si="109"/>
        <v/>
      </c>
      <c r="Z244" s="315" t="str">
        <f t="shared" ca="1" si="110"/>
        <v/>
      </c>
      <c r="AA244" s="316" t="str">
        <f t="shared" ca="1" si="111"/>
        <v/>
      </c>
      <c r="AC244" s="310" t="e">
        <f t="shared" ca="1" si="112"/>
        <v>#N/A</v>
      </c>
      <c r="AD244" s="323" t="e">
        <f t="shared" ca="1" si="113"/>
        <v>#N/A</v>
      </c>
      <c r="AE244" s="324">
        <f t="shared" ca="1" si="92"/>
        <v>928.27671264434309</v>
      </c>
      <c r="AG244" s="306">
        <f t="shared" ca="1" si="114"/>
        <v>47.076540311851545</v>
      </c>
      <c r="AH244" s="304">
        <f t="shared" ca="1" si="115"/>
        <v>56.775608955073345</v>
      </c>
    </row>
    <row r="245" spans="1:34" x14ac:dyDescent="0.2">
      <c r="A245" s="347">
        <f t="shared" ca="1" si="93"/>
        <v>0.01</v>
      </c>
      <c r="B245" s="304">
        <f t="shared" ca="1" si="94"/>
        <v>6.4099999999999486</v>
      </c>
      <c r="D245" s="306">
        <f t="shared" ca="1" si="95"/>
        <v>8.4700589786011076</v>
      </c>
      <c r="E245" s="307">
        <f t="shared" ca="1" si="96"/>
        <v>46.016324628062222</v>
      </c>
      <c r="F245" s="304">
        <f t="shared" ca="1" si="97"/>
        <v>46.789358099638292</v>
      </c>
      <c r="G245" s="306">
        <f t="shared" ca="1" si="98"/>
        <v>49.04690908490965</v>
      </c>
      <c r="H245" s="307">
        <f t="shared" ca="1" si="99"/>
        <v>323.17103844340642</v>
      </c>
      <c r="I245" s="304">
        <f t="shared" ca="1" si="100"/>
        <v>326.87171700741112</v>
      </c>
      <c r="J245" s="306">
        <f t="shared" ca="1" si="101"/>
        <v>127.15012055637003</v>
      </c>
      <c r="K245" s="307">
        <f t="shared" ca="1" si="102"/>
        <v>931.50612221254573</v>
      </c>
      <c r="L245" s="304">
        <f t="shared" ca="1" si="87"/>
        <v>940.14403623963574</v>
      </c>
      <c r="M245" s="306">
        <f t="shared" ca="1" si="103"/>
        <v>1.4201780759241722</v>
      </c>
      <c r="N245" s="304">
        <f t="shared" ca="1" si="104"/>
        <v>81.370209907464854</v>
      </c>
      <c r="P245" s="310">
        <f t="shared" ca="1" si="105"/>
        <v>6</v>
      </c>
      <c r="Q245" s="304">
        <f t="shared" ca="1" si="106"/>
        <v>526.87000000000751</v>
      </c>
      <c r="R245" s="306">
        <f t="shared" ca="1" si="107"/>
        <v>0.26441150522015366</v>
      </c>
      <c r="S245" s="307">
        <f t="shared" ca="1" si="108"/>
        <v>5.8439997293489458</v>
      </c>
      <c r="T245" s="304">
        <f t="shared" ca="1" si="88"/>
        <v>57.329637344913159</v>
      </c>
      <c r="U245" s="311">
        <f t="shared" ca="1" si="89"/>
        <v>0</v>
      </c>
      <c r="V245" s="306">
        <f t="shared" ca="1" si="90"/>
        <v>1.1159686677061968</v>
      </c>
      <c r="W245" s="304">
        <f t="shared" ca="1" si="91"/>
        <v>197.38800332211821</v>
      </c>
      <c r="Y245" s="314" t="str">
        <f t="shared" ca="1" si="109"/>
        <v/>
      </c>
      <c r="Z245" s="315" t="str">
        <f t="shared" ca="1" si="110"/>
        <v/>
      </c>
      <c r="AA245" s="316" t="str">
        <f t="shared" ca="1" si="111"/>
        <v/>
      </c>
      <c r="AC245" s="310" t="e">
        <f t="shared" ca="1" si="112"/>
        <v>#N/A</v>
      </c>
      <c r="AD245" s="323" t="e">
        <f t="shared" ca="1" si="113"/>
        <v>#N/A</v>
      </c>
      <c r="AE245" s="324">
        <f t="shared" ca="1" si="92"/>
        <v>931.50612221254573</v>
      </c>
      <c r="AG245" s="306">
        <f t="shared" ca="1" si="114"/>
        <v>46.766211922438139</v>
      </c>
      <c r="AH245" s="304">
        <f t="shared" ca="1" si="115"/>
        <v>56.465214252482632</v>
      </c>
    </row>
    <row r="246" spans="1:34" x14ac:dyDescent="0.2">
      <c r="A246" s="347">
        <f t="shared" ca="1" si="93"/>
        <v>0.01</v>
      </c>
      <c r="B246" s="304">
        <f t="shared" ca="1" si="94"/>
        <v>6.4199999999999484</v>
      </c>
      <c r="D246" s="306">
        <f t="shared" ca="1" si="95"/>
        <v>8.4260314532336107</v>
      </c>
      <c r="E246" s="307">
        <f t="shared" ca="1" si="96"/>
        <v>45.709285221096934</v>
      </c>
      <c r="F246" s="304">
        <f t="shared" ca="1" si="97"/>
        <v>46.479422989904606</v>
      </c>
      <c r="G246" s="306">
        <f t="shared" ca="1" si="98"/>
        <v>49.131169399441987</v>
      </c>
      <c r="H246" s="307">
        <f t="shared" ca="1" si="99"/>
        <v>323.62813129561738</v>
      </c>
      <c r="I246" s="304">
        <f t="shared" ca="1" si="100"/>
        <v>327.33627842396271</v>
      </c>
      <c r="J246" s="306">
        <f t="shared" ca="1" si="101"/>
        <v>127.64101094879179</v>
      </c>
      <c r="K246" s="307">
        <f t="shared" ca="1" si="102"/>
        <v>934.74011806124088</v>
      </c>
      <c r="L246" s="304">
        <f t="shared" ca="1" si="87"/>
        <v>943.41471050072778</v>
      </c>
      <c r="M246" s="306">
        <f t="shared" ca="1" si="103"/>
        <v>1.4201331073449559</v>
      </c>
      <c r="N246" s="304">
        <f t="shared" ca="1" si="104"/>
        <v>81.36763339766506</v>
      </c>
      <c r="P246" s="310">
        <f t="shared" ca="1" si="105"/>
        <v>6</v>
      </c>
      <c r="Q246" s="304">
        <f t="shared" ca="1" si="106"/>
        <v>525.41000000000747</v>
      </c>
      <c r="R246" s="306">
        <f t="shared" ca="1" si="107"/>
        <v>0.26367879924406579</v>
      </c>
      <c r="S246" s="307">
        <f t="shared" ca="1" si="108"/>
        <v>5.8413629413565049</v>
      </c>
      <c r="T246" s="304">
        <f t="shared" ca="1" si="88"/>
        <v>57.303770454707319</v>
      </c>
      <c r="U246" s="311">
        <f t="shared" ca="1" si="89"/>
        <v>0</v>
      </c>
      <c r="V246" s="306">
        <f t="shared" ca="1" si="90"/>
        <v>1.115607035180042</v>
      </c>
      <c r="W246" s="304">
        <f t="shared" ca="1" si="91"/>
        <v>197.8853253379431</v>
      </c>
      <c r="Y246" s="314" t="str">
        <f t="shared" ca="1" si="109"/>
        <v/>
      </c>
      <c r="Z246" s="315" t="str">
        <f t="shared" ca="1" si="110"/>
        <v/>
      </c>
      <c r="AA246" s="316" t="str">
        <f t="shared" ca="1" si="111"/>
        <v/>
      </c>
      <c r="AC246" s="310" t="e">
        <f t="shared" ca="1" si="112"/>
        <v>#N/A</v>
      </c>
      <c r="AD246" s="323" t="e">
        <f t="shared" ca="1" si="113"/>
        <v>#N/A</v>
      </c>
      <c r="AE246" s="324">
        <f t="shared" ca="1" si="92"/>
        <v>934.74011806124088</v>
      </c>
      <c r="AG246" s="306">
        <f t="shared" ca="1" si="114"/>
        <v>46.456108558626973</v>
      </c>
      <c r="AH246" s="304">
        <f t="shared" ca="1" si="115"/>
        <v>56.155044631024872</v>
      </c>
    </row>
    <row r="247" spans="1:34" x14ac:dyDescent="0.2">
      <c r="A247" s="347">
        <f t="shared" ca="1" si="93"/>
        <v>0.01</v>
      </c>
      <c r="B247" s="304">
        <f t="shared" ca="1" si="94"/>
        <v>6.4299999999999482</v>
      </c>
      <c r="D247" s="306">
        <f t="shared" ca="1" si="95"/>
        <v>8.3820077815760872</v>
      </c>
      <c r="E247" s="307">
        <f t="shared" ca="1" si="96"/>
        <v>45.402476072014743</v>
      </c>
      <c r="F247" s="304">
        <f t="shared" ca="1" si="97"/>
        <v>46.169718300204885</v>
      </c>
      <c r="G247" s="306">
        <f t="shared" ca="1" si="98"/>
        <v>49.214989477257745</v>
      </c>
      <c r="H247" s="307">
        <f t="shared" ca="1" si="99"/>
        <v>324.08215605633751</v>
      </c>
      <c r="I247" s="304">
        <f t="shared" ca="1" si="100"/>
        <v>327.79774108948783</v>
      </c>
      <c r="J247" s="306">
        <f t="shared" ca="1" si="101"/>
        <v>128.13274174317527</v>
      </c>
      <c r="K247" s="307">
        <f t="shared" ca="1" si="102"/>
        <v>937.97866949800061</v>
      </c>
      <c r="L247" s="304">
        <f t="shared" ca="1" si="87"/>
        <v>946.69001470379033</v>
      </c>
      <c r="M247" s="306">
        <f t="shared" ca="1" si="103"/>
        <v>1.4200881887656616</v>
      </c>
      <c r="N247" s="304">
        <f t="shared" ca="1" si="104"/>
        <v>81.365059752649771</v>
      </c>
      <c r="P247" s="310">
        <f t="shared" ca="1" si="105"/>
        <v>6</v>
      </c>
      <c r="Q247" s="304">
        <f t="shared" ca="1" si="106"/>
        <v>523.95000000000755</v>
      </c>
      <c r="R247" s="306">
        <f t="shared" ca="1" si="107"/>
        <v>0.26294609326797791</v>
      </c>
      <c r="S247" s="307">
        <f t="shared" ca="1" si="108"/>
        <v>5.8387334804238256</v>
      </c>
      <c r="T247" s="304">
        <f t="shared" ca="1" si="88"/>
        <v>57.277975442957732</v>
      </c>
      <c r="U247" s="311">
        <f t="shared" ca="1" si="89"/>
        <v>0</v>
      </c>
      <c r="V247" s="306">
        <f t="shared" ca="1" si="90"/>
        <v>1.1152450051867784</v>
      </c>
      <c r="W247" s="304">
        <f t="shared" ca="1" si="91"/>
        <v>198.37925898363375</v>
      </c>
      <c r="Y247" s="314" t="str">
        <f t="shared" ca="1" si="109"/>
        <v/>
      </c>
      <c r="Z247" s="315" t="str">
        <f t="shared" ca="1" si="110"/>
        <v/>
      </c>
      <c r="AA247" s="316" t="str">
        <f t="shared" ca="1" si="111"/>
        <v/>
      </c>
      <c r="AC247" s="310" t="e">
        <f t="shared" ca="1" si="112"/>
        <v>#N/A</v>
      </c>
      <c r="AD247" s="323" t="e">
        <f t="shared" ca="1" si="113"/>
        <v>#N/A</v>
      </c>
      <c r="AE247" s="324">
        <f t="shared" ca="1" si="92"/>
        <v>937.97866949800061</v>
      </c>
      <c r="AG247" s="306">
        <f t="shared" ca="1" si="114"/>
        <v>46.146233482986844</v>
      </c>
      <c r="AH247" s="304">
        <f t="shared" ca="1" si="115"/>
        <v>55.845103352516084</v>
      </c>
    </row>
    <row r="248" spans="1:34" x14ac:dyDescent="0.2">
      <c r="A248" s="347">
        <f t="shared" ca="1" si="93"/>
        <v>0.01</v>
      </c>
      <c r="B248" s="304">
        <f t="shared" ca="1" si="94"/>
        <v>6.439999999999948</v>
      </c>
      <c r="D248" s="306">
        <f t="shared" ca="1" si="95"/>
        <v>8.3379885566620189</v>
      </c>
      <c r="E248" s="307">
        <f t="shared" ca="1" si="96"/>
        <v>45.095900363237497</v>
      </c>
      <c r="F248" s="304">
        <f t="shared" ca="1" si="97"/>
        <v>45.86024730354243</v>
      </c>
      <c r="G248" s="306">
        <f t="shared" ca="1" si="98"/>
        <v>49.298369362824367</v>
      </c>
      <c r="H248" s="307">
        <f t="shared" ca="1" si="99"/>
        <v>324.53311505996987</v>
      </c>
      <c r="I248" s="304">
        <f t="shared" ca="1" si="100"/>
        <v>328.25610731921057</v>
      </c>
      <c r="J248" s="306">
        <f t="shared" ca="1" si="101"/>
        <v>128.62530853737567</v>
      </c>
      <c r="K248" s="307">
        <f t="shared" ca="1" si="102"/>
        <v>941.22174585358221</v>
      </c>
      <c r="L248" s="304">
        <f t="shared" ca="1" si="87"/>
        <v>949.96991787319268</v>
      </c>
      <c r="M248" s="306">
        <f t="shared" ca="1" si="103"/>
        <v>1.420043319637329</v>
      </c>
      <c r="N248" s="304">
        <f t="shared" ca="1" si="104"/>
        <v>81.362488940965889</v>
      </c>
      <c r="P248" s="310">
        <f t="shared" ca="1" si="105"/>
        <v>6</v>
      </c>
      <c r="Q248" s="304">
        <f t="shared" ca="1" si="106"/>
        <v>522.49000000000763</v>
      </c>
      <c r="R248" s="306">
        <f t="shared" ca="1" si="107"/>
        <v>0.26221338729189009</v>
      </c>
      <c r="S248" s="307">
        <f t="shared" ca="1" si="108"/>
        <v>5.8361113465509069</v>
      </c>
      <c r="T248" s="304">
        <f t="shared" ca="1" si="88"/>
        <v>57.252252309664399</v>
      </c>
      <c r="U248" s="311">
        <f t="shared" ca="1" si="89"/>
        <v>0</v>
      </c>
      <c r="V248" s="306">
        <f t="shared" ca="1" si="90"/>
        <v>1.1148825815739301</v>
      </c>
      <c r="W248" s="304">
        <f t="shared" ca="1" si="91"/>
        <v>198.8697941956072</v>
      </c>
      <c r="Y248" s="314" t="str">
        <f t="shared" ca="1" si="109"/>
        <v/>
      </c>
      <c r="Z248" s="315" t="str">
        <f t="shared" ca="1" si="110"/>
        <v/>
      </c>
      <c r="AA248" s="316" t="str">
        <f t="shared" ca="1" si="111"/>
        <v/>
      </c>
      <c r="AC248" s="310" t="e">
        <f t="shared" ca="1" si="112"/>
        <v>#N/A</v>
      </c>
      <c r="AD248" s="323" t="e">
        <f t="shared" ca="1" si="113"/>
        <v>#N/A</v>
      </c>
      <c r="AE248" s="324">
        <f t="shared" ca="1" si="92"/>
        <v>941.22174585358221</v>
      </c>
      <c r="AG248" s="306">
        <f t="shared" ca="1" si="114"/>
        <v>45.836589929384488</v>
      </c>
      <c r="AH248" s="304">
        <f t="shared" ca="1" si="115"/>
        <v>55.535393650075001</v>
      </c>
    </row>
    <row r="249" spans="1:34" x14ac:dyDescent="0.2">
      <c r="A249" s="347">
        <f t="shared" ca="1" si="93"/>
        <v>0.01</v>
      </c>
      <c r="B249" s="304">
        <f t="shared" ca="1" si="94"/>
        <v>6.4499999999999478</v>
      </c>
      <c r="D249" s="306">
        <f t="shared" ca="1" si="95"/>
        <v>8.2939743668296213</v>
      </c>
      <c r="E249" s="307">
        <f t="shared" ca="1" si="96"/>
        <v>44.789561248866221</v>
      </c>
      <c r="F249" s="304">
        <f t="shared" ca="1" si="97"/>
        <v>45.551013245190994</v>
      </c>
      <c r="G249" s="306">
        <f t="shared" ca="1" si="98"/>
        <v>49.381309106492665</v>
      </c>
      <c r="H249" s="307">
        <f t="shared" ca="1" si="99"/>
        <v>324.98101067245852</v>
      </c>
      <c r="I249" s="304">
        <f t="shared" ca="1" si="100"/>
        <v>328.71137946040682</v>
      </c>
      <c r="J249" s="306">
        <f t="shared" ca="1" si="101"/>
        <v>129.11870692972226</v>
      </c>
      <c r="K249" s="307">
        <f t="shared" ca="1" si="102"/>
        <v>944.46931648224438</v>
      </c>
      <c r="L249" s="304">
        <f t="shared" ca="1" si="87"/>
        <v>953.25438905658416</v>
      </c>
      <c r="M249" s="306">
        <f t="shared" ca="1" si="103"/>
        <v>1.4199984994148489</v>
      </c>
      <c r="N249" s="304">
        <f t="shared" ca="1" si="104"/>
        <v>81.359920931380941</v>
      </c>
      <c r="P249" s="310">
        <f t="shared" ca="1" si="105"/>
        <v>6</v>
      </c>
      <c r="Q249" s="304">
        <f t="shared" ca="1" si="106"/>
        <v>521.03000000000759</v>
      </c>
      <c r="R249" s="306">
        <f t="shared" ca="1" si="107"/>
        <v>0.26148068131580221</v>
      </c>
      <c r="S249" s="307">
        <f t="shared" ca="1" si="108"/>
        <v>5.833496539737749</v>
      </c>
      <c r="T249" s="304">
        <f t="shared" ca="1" si="88"/>
        <v>57.22660105482732</v>
      </c>
      <c r="U249" s="311">
        <f t="shared" ca="1" si="89"/>
        <v>0</v>
      </c>
      <c r="V249" s="306">
        <f t="shared" ca="1" si="90"/>
        <v>1.1145197681824033</v>
      </c>
      <c r="W249" s="304">
        <f t="shared" ca="1" si="91"/>
        <v>199.35692110072858</v>
      </c>
      <c r="Y249" s="314" t="str">
        <f t="shared" ca="1" si="109"/>
        <v/>
      </c>
      <c r="Z249" s="315" t="str">
        <f t="shared" ca="1" si="110"/>
        <v/>
      </c>
      <c r="AA249" s="316" t="str">
        <f t="shared" ca="1" si="111"/>
        <v/>
      </c>
      <c r="AC249" s="310" t="e">
        <f t="shared" ca="1" si="112"/>
        <v>#N/A</v>
      </c>
      <c r="AD249" s="323" t="e">
        <f t="shared" ca="1" si="113"/>
        <v>#N/A</v>
      </c>
      <c r="AE249" s="324">
        <f t="shared" ca="1" si="92"/>
        <v>944.46931648224438</v>
      </c>
      <c r="AG249" s="306">
        <f t="shared" ca="1" si="114"/>
        <v>45.527181102994305</v>
      </c>
      <c r="AH249" s="304">
        <f t="shared" ca="1" si="115"/>
        <v>55.225918728132726</v>
      </c>
    </row>
    <row r="250" spans="1:34" x14ac:dyDescent="0.2">
      <c r="A250" s="347">
        <f t="shared" ca="1" si="93"/>
        <v>0.01</v>
      </c>
      <c r="B250" s="304">
        <f t="shared" ca="1" si="94"/>
        <v>6.4599999999999476</v>
      </c>
      <c r="D250" s="306">
        <f t="shared" ca="1" si="95"/>
        <v>8.2499657957256609</v>
      </c>
      <c r="E250" s="307">
        <f t="shared" ca="1" si="96"/>
        <v>44.483461854692479</v>
      </c>
      <c r="F250" s="304">
        <f t="shared" ca="1" si="97"/>
        <v>45.242019342736285</v>
      </c>
      <c r="G250" s="306">
        <f t="shared" ca="1" si="98"/>
        <v>49.463808764449922</v>
      </c>
      <c r="H250" s="307">
        <f t="shared" ca="1" si="99"/>
        <v>325.42584529100543</v>
      </c>
      <c r="I250" s="304">
        <f t="shared" ca="1" si="100"/>
        <v>329.16355989211729</v>
      </c>
      <c r="J250" s="306">
        <f t="shared" ca="1" si="101"/>
        <v>129.61293251907699</v>
      </c>
      <c r="K250" s="307">
        <f t="shared" ca="1" si="102"/>
        <v>947.72135076206166</v>
      </c>
      <c r="L250" s="304">
        <f t="shared" ca="1" si="87"/>
        <v>956.54339732521362</v>
      </c>
      <c r="M250" s="306">
        <f t="shared" ca="1" si="103"/>
        <v>1.4199537275569163</v>
      </c>
      <c r="N250" s="304">
        <f t="shared" ca="1" si="104"/>
        <v>81.357355692880446</v>
      </c>
      <c r="P250" s="310">
        <f t="shared" ca="1" si="105"/>
        <v>6</v>
      </c>
      <c r="Q250" s="304">
        <f t="shared" ca="1" si="106"/>
        <v>519.57000000000767</v>
      </c>
      <c r="R250" s="306">
        <f t="shared" ca="1" si="107"/>
        <v>0.26074797533971439</v>
      </c>
      <c r="S250" s="307">
        <f t="shared" ca="1" si="108"/>
        <v>5.8308890599843517</v>
      </c>
      <c r="T250" s="304">
        <f t="shared" ca="1" si="88"/>
        <v>57.201021678446494</v>
      </c>
      <c r="U250" s="311">
        <f t="shared" ca="1" si="89"/>
        <v>0</v>
      </c>
      <c r="V250" s="306">
        <f t="shared" ca="1" si="90"/>
        <v>1.114156568846445</v>
      </c>
      <c r="W250" s="304">
        <f t="shared" ca="1" si="91"/>
        <v>199.84063001562313</v>
      </c>
      <c r="Y250" s="314" t="str">
        <f t="shared" ca="1" si="109"/>
        <v/>
      </c>
      <c r="Z250" s="315" t="str">
        <f t="shared" ca="1" si="110"/>
        <v/>
      </c>
      <c r="AA250" s="316" t="str">
        <f t="shared" ca="1" si="111"/>
        <v/>
      </c>
      <c r="AC250" s="310" t="e">
        <f t="shared" ca="1" si="112"/>
        <v>#N/A</v>
      </c>
      <c r="AD250" s="323" t="e">
        <f t="shared" ca="1" si="113"/>
        <v>#N/A</v>
      </c>
      <c r="AE250" s="324">
        <f t="shared" ca="1" si="92"/>
        <v>947.72135076206166</v>
      </c>
      <c r="AG250" s="306">
        <f t="shared" ca="1" si="114"/>
        <v>45.21801018031006</v>
      </c>
      <c r="AH250" s="304">
        <f t="shared" ca="1" si="115"/>
        <v>54.916681762444377</v>
      </c>
    </row>
    <row r="251" spans="1:34" x14ac:dyDescent="0.2">
      <c r="A251" s="347">
        <f t="shared" ca="1" si="93"/>
        <v>0.01</v>
      </c>
      <c r="B251" s="304">
        <f t="shared" ca="1" si="94"/>
        <v>6.4699999999999473</v>
      </c>
      <c r="D251" s="306">
        <f t="shared" ca="1" si="95"/>
        <v>8.205963422309301</v>
      </c>
      <c r="E251" s="307">
        <f t="shared" ca="1" si="96"/>
        <v>44.177605278211807</v>
      </c>
      <c r="F251" s="304">
        <f t="shared" ca="1" si="97"/>
        <v>44.933268786120664</v>
      </c>
      <c r="G251" s="306">
        <f t="shared" ca="1" si="98"/>
        <v>49.545868398673015</v>
      </c>
      <c r="H251" s="307">
        <f t="shared" ca="1" si="99"/>
        <v>325.86762134378756</v>
      </c>
      <c r="I251" s="304">
        <f t="shared" ca="1" si="100"/>
        <v>329.6126510248609</v>
      </c>
      <c r="J251" s="306">
        <f t="shared" ca="1" si="101"/>
        <v>130.1079809048926</v>
      </c>
      <c r="K251" s="307">
        <f t="shared" ca="1" si="102"/>
        <v>950.97781809523565</v>
      </c>
      <c r="L251" s="304">
        <f t="shared" ca="1" si="87"/>
        <v>959.83691177424669</v>
      </c>
      <c r="M251" s="306">
        <f t="shared" ca="1" si="103"/>
        <v>1.4199090035259818</v>
      </c>
      <c r="N251" s="304">
        <f t="shared" ca="1" si="104"/>
        <v>81.354793194665078</v>
      </c>
      <c r="P251" s="310">
        <f t="shared" ca="1" si="105"/>
        <v>6</v>
      </c>
      <c r="Q251" s="304">
        <f t="shared" ca="1" si="106"/>
        <v>518.11000000000763</v>
      </c>
      <c r="R251" s="306">
        <f t="shared" ca="1" si="107"/>
        <v>0.26001526936362646</v>
      </c>
      <c r="S251" s="307">
        <f t="shared" ca="1" si="108"/>
        <v>5.8282889072907151</v>
      </c>
      <c r="T251" s="304">
        <f t="shared" ca="1" si="88"/>
        <v>57.175514180521915</v>
      </c>
      <c r="U251" s="311">
        <f t="shared" ca="1" si="89"/>
        <v>0</v>
      </c>
      <c r="V251" s="306">
        <f t="shared" ca="1" si="90"/>
        <v>1.1137929873936001</v>
      </c>
      <c r="W251" s="304">
        <f t="shared" ca="1" si="91"/>
        <v>200.32091144597933</v>
      </c>
      <c r="Y251" s="314" t="str">
        <f t="shared" ca="1" si="109"/>
        <v/>
      </c>
      <c r="Z251" s="315" t="str">
        <f t="shared" ca="1" si="110"/>
        <v/>
      </c>
      <c r="AA251" s="316" t="str">
        <f t="shared" ca="1" si="111"/>
        <v/>
      </c>
      <c r="AC251" s="310" t="e">
        <f t="shared" ca="1" si="112"/>
        <v>#N/A</v>
      </c>
      <c r="AD251" s="323" t="e">
        <f t="shared" ca="1" si="113"/>
        <v>#N/A</v>
      </c>
      <c r="AE251" s="324">
        <f t="shared" ca="1" si="92"/>
        <v>950.97781809523565</v>
      </c>
      <c r="AG251" s="306">
        <f t="shared" ca="1" si="114"/>
        <v>44.909080309158632</v>
      </c>
      <c r="AH251" s="304">
        <f t="shared" ca="1" si="115"/>
        <v>54.607685900102766</v>
      </c>
    </row>
    <row r="252" spans="1:34" x14ac:dyDescent="0.2">
      <c r="A252" s="347">
        <f t="shared" ca="1" si="93"/>
        <v>0.01</v>
      </c>
      <c r="B252" s="304">
        <f t="shared" ca="1" si="94"/>
        <v>6.4799999999999471</v>
      </c>
      <c r="D252" s="306">
        <f t="shared" ca="1" si="95"/>
        <v>8.1619678208563897</v>
      </c>
      <c r="E252" s="307">
        <f t="shared" ca="1" si="96"/>
        <v>43.871994588639438</v>
      </c>
      <c r="F252" s="304">
        <f t="shared" ca="1" si="97"/>
        <v>44.624764737691372</v>
      </c>
      <c r="G252" s="306">
        <f t="shared" ca="1" si="98"/>
        <v>49.627488076881576</v>
      </c>
      <c r="H252" s="307">
        <f t="shared" ca="1" si="99"/>
        <v>326.30634128967398</v>
      </c>
      <c r="I252" s="304">
        <f t="shared" ca="1" si="100"/>
        <v>330.05865530034839</v>
      </c>
      <c r="J252" s="306">
        <f t="shared" ca="1" si="101"/>
        <v>130.60384768727036</v>
      </c>
      <c r="K252" s="307">
        <f t="shared" ca="1" si="102"/>
        <v>954.23868790840299</v>
      </c>
      <c r="L252" s="304">
        <f t="shared" ca="1" si="87"/>
        <v>963.1349015230785</v>
      </c>
      <c r="M252" s="306">
        <f t="shared" ca="1" si="103"/>
        <v>1.4198643267882065</v>
      </c>
      <c r="N252" s="304">
        <f t="shared" ca="1" si="104"/>
        <v>81.352233406148144</v>
      </c>
      <c r="P252" s="310">
        <f t="shared" ca="1" si="105"/>
        <v>6</v>
      </c>
      <c r="Q252" s="304">
        <f t="shared" ca="1" si="106"/>
        <v>516.65000000000771</v>
      </c>
      <c r="R252" s="306">
        <f t="shared" ca="1" si="107"/>
        <v>0.25928256338753863</v>
      </c>
      <c r="S252" s="307">
        <f t="shared" ca="1" si="108"/>
        <v>5.8256960816568402</v>
      </c>
      <c r="T252" s="304">
        <f t="shared" ca="1" si="88"/>
        <v>57.150078561053604</v>
      </c>
      <c r="U252" s="311">
        <f t="shared" ca="1" si="89"/>
        <v>0</v>
      </c>
      <c r="V252" s="306">
        <f t="shared" ca="1" si="90"/>
        <v>1.1134290276446712</v>
      </c>
      <c r="W252" s="304">
        <f t="shared" ca="1" si="91"/>
        <v>200.7977560858443</v>
      </c>
      <c r="Y252" s="314" t="str">
        <f t="shared" ca="1" si="109"/>
        <v/>
      </c>
      <c r="Z252" s="315" t="str">
        <f t="shared" ca="1" si="110"/>
        <v/>
      </c>
      <c r="AA252" s="316" t="str">
        <f t="shared" ca="1" si="111"/>
        <v/>
      </c>
      <c r="AC252" s="310" t="e">
        <f t="shared" ca="1" si="112"/>
        <v>#N/A</v>
      </c>
      <c r="AD252" s="323" t="e">
        <f t="shared" ca="1" si="113"/>
        <v>#N/A</v>
      </c>
      <c r="AE252" s="324">
        <f t="shared" ca="1" si="92"/>
        <v>954.23868790840299</v>
      </c>
      <c r="AG252" s="306">
        <f t="shared" ca="1" si="114"/>
        <v>44.600394608716044</v>
      </c>
      <c r="AH252" s="304">
        <f t="shared" ca="1" si="115"/>
        <v>54.298934259554393</v>
      </c>
    </row>
    <row r="253" spans="1:34" x14ac:dyDescent="0.2">
      <c r="A253" s="347">
        <f t="shared" ca="1" si="93"/>
        <v>0.01</v>
      </c>
      <c r="B253" s="304">
        <f t="shared" ca="1" si="94"/>
        <v>6.4899999999999469</v>
      </c>
      <c r="D253" s="306">
        <f t="shared" ca="1" si="95"/>
        <v>8.1179795609637697</v>
      </c>
      <c r="E253" s="307">
        <f t="shared" ca="1" si="96"/>
        <v>43.566632826927759</v>
      </c>
      <c r="F253" s="304">
        <f t="shared" ca="1" si="97"/>
        <v>44.316510332251625</v>
      </c>
      <c r="G253" s="306">
        <f t="shared" ca="1" si="98"/>
        <v>49.708667872491212</v>
      </c>
      <c r="H253" s="307">
        <f t="shared" ca="1" si="99"/>
        <v>326.74200761794327</v>
      </c>
      <c r="I253" s="304">
        <f t="shared" ca="1" si="100"/>
        <v>330.50157519119597</v>
      </c>
      <c r="J253" s="306">
        <f t="shared" ca="1" si="101"/>
        <v>131.10052846701723</v>
      </c>
      <c r="K253" s="307">
        <f t="shared" ca="1" si="102"/>
        <v>957.50392965294111</v>
      </c>
      <c r="L253" s="304">
        <f t="shared" ca="1" si="87"/>
        <v>966.43733571564564</v>
      </c>
      <c r="M253" s="306">
        <f t="shared" ca="1" si="103"/>
        <v>1.4198196968134136</v>
      </c>
      <c r="N253" s="304">
        <f t="shared" ca="1" si="104"/>
        <v>81.349676296952737</v>
      </c>
      <c r="P253" s="310">
        <f t="shared" ca="1" si="105"/>
        <v>6</v>
      </c>
      <c r="Q253" s="304">
        <f t="shared" ca="1" si="106"/>
        <v>515.19000000000779</v>
      </c>
      <c r="R253" s="306">
        <f t="shared" ca="1" si="107"/>
        <v>0.25854985741145081</v>
      </c>
      <c r="S253" s="307">
        <f t="shared" ca="1" si="108"/>
        <v>5.8231105830827259</v>
      </c>
      <c r="T253" s="304">
        <f t="shared" ca="1" si="88"/>
        <v>57.124714820041547</v>
      </c>
      <c r="U253" s="311">
        <f t="shared" ca="1" si="89"/>
        <v>0</v>
      </c>
      <c r="V253" s="306">
        <f t="shared" ca="1" si="90"/>
        <v>1.1130646934136803</v>
      </c>
      <c r="W253" s="304">
        <f t="shared" ca="1" si="91"/>
        <v>201.27115481691004</v>
      </c>
      <c r="Y253" s="314" t="str">
        <f t="shared" ca="1" si="109"/>
        <v/>
      </c>
      <c r="Z253" s="315" t="str">
        <f t="shared" ca="1" si="110"/>
        <v/>
      </c>
      <c r="AA253" s="316" t="str">
        <f t="shared" ca="1" si="111"/>
        <v/>
      </c>
      <c r="AC253" s="310" t="e">
        <f t="shared" ca="1" si="112"/>
        <v>#N/A</v>
      </c>
      <c r="AD253" s="323" t="e">
        <f t="shared" ca="1" si="113"/>
        <v>#N/A</v>
      </c>
      <c r="AE253" s="324">
        <f t="shared" ca="1" si="92"/>
        <v>957.50392965294111</v>
      </c>
      <c r="AG253" s="306">
        <f t="shared" ca="1" si="114"/>
        <v>44.291956169525328</v>
      </c>
      <c r="AH253" s="304">
        <f t="shared" ca="1" si="115"/>
        <v>53.990429930617218</v>
      </c>
    </row>
    <row r="254" spans="1:34" x14ac:dyDescent="0.2">
      <c r="A254" s="347">
        <f t="shared" ca="1" si="93"/>
        <v>0.01</v>
      </c>
      <c r="B254" s="304">
        <f t="shared" ca="1" si="94"/>
        <v>6.4999999999999467</v>
      </c>
      <c r="D254" s="306">
        <f t="shared" ca="1" si="95"/>
        <v>8.0739992075540368</v>
      </c>
      <c r="E254" s="307">
        <f t="shared" ca="1" si="96"/>
        <v>43.261523005785939</v>
      </c>
      <c r="F254" s="304">
        <f t="shared" ca="1" si="97"/>
        <v>44.008508677115259</v>
      </c>
      <c r="G254" s="306">
        <f t="shared" ca="1" si="98"/>
        <v>49.789407864566755</v>
      </c>
      <c r="H254" s="307">
        <f t="shared" ca="1" si="99"/>
        <v>327.17462284800115</v>
      </c>
      <c r="I254" s="304">
        <f t="shared" ca="1" si="100"/>
        <v>330.94141320063886</v>
      </c>
      <c r="J254" s="306">
        <f t="shared" ca="1" si="101"/>
        <v>131.59801884570251</v>
      </c>
      <c r="K254" s="307">
        <f t="shared" ca="1" si="102"/>
        <v>960.7735128052708</v>
      </c>
      <c r="L254" s="304">
        <f t="shared" ca="1" si="87"/>
        <v>969.74418352073337</v>
      </c>
      <c r="M254" s="306">
        <f t="shared" ca="1" si="103"/>
        <v>1.4197751130750449</v>
      </c>
      <c r="N254" s="304">
        <f t="shared" ca="1" si="104"/>
        <v>81.347121836909295</v>
      </c>
      <c r="P254" s="310">
        <f t="shared" ca="1" si="105"/>
        <v>6</v>
      </c>
      <c r="Q254" s="304">
        <f t="shared" ca="1" si="106"/>
        <v>513.73000000000775</v>
      </c>
      <c r="R254" s="306">
        <f t="shared" ca="1" si="107"/>
        <v>0.25781715143536293</v>
      </c>
      <c r="S254" s="307">
        <f t="shared" ca="1" si="108"/>
        <v>5.8205324115683723</v>
      </c>
      <c r="T254" s="304">
        <f t="shared" ca="1" si="88"/>
        <v>57.099422957485736</v>
      </c>
      <c r="U254" s="311">
        <f t="shared" ca="1" si="89"/>
        <v>0</v>
      </c>
      <c r="V254" s="306">
        <f t="shared" ca="1" si="90"/>
        <v>1.1126999885078248</v>
      </c>
      <c r="W254" s="304">
        <f t="shared" ca="1" si="91"/>
        <v>201.74109870779068</v>
      </c>
      <c r="Y254" s="314" t="str">
        <f t="shared" ca="1" si="109"/>
        <v/>
      </c>
      <c r="Z254" s="315" t="str">
        <f t="shared" ca="1" si="110"/>
        <v/>
      </c>
      <c r="AA254" s="316" t="str">
        <f t="shared" ca="1" si="111"/>
        <v/>
      </c>
      <c r="AC254" s="310" t="e">
        <f t="shared" ca="1" si="112"/>
        <v>#N/A</v>
      </c>
      <c r="AD254" s="323" t="e">
        <f t="shared" ca="1" si="113"/>
        <v>#N/A</v>
      </c>
      <c r="AE254" s="324">
        <f t="shared" ca="1" si="92"/>
        <v>960.7735128052708</v>
      </c>
      <c r="AG254" s="306">
        <f t="shared" ca="1" si="114"/>
        <v>43.983768053516485</v>
      </c>
      <c r="AH254" s="304">
        <f t="shared" ca="1" si="115"/>
        <v>53.682175974500602</v>
      </c>
    </row>
    <row r="255" spans="1:34" x14ac:dyDescent="0.2">
      <c r="A255" s="347">
        <f t="shared" ca="1" si="93"/>
        <v>0.01</v>
      </c>
      <c r="B255" s="304">
        <f t="shared" ca="1" si="94"/>
        <v>6.5099999999999465</v>
      </c>
      <c r="D255" s="306">
        <f t="shared" ca="1" si="95"/>
        <v>8.0224931270001161</v>
      </c>
      <c r="E255" s="307">
        <f t="shared" ca="1" si="96"/>
        <v>42.907159647019711</v>
      </c>
      <c r="F255" s="304">
        <f t="shared" ca="1" si="97"/>
        <v>43.650712994722099</v>
      </c>
      <c r="G255" s="306">
        <f t="shared" ca="1" si="98"/>
        <v>49.869632795836758</v>
      </c>
      <c r="H255" s="307">
        <f t="shared" ca="1" si="99"/>
        <v>327.60369444447133</v>
      </c>
      <c r="I255" s="304">
        <f t="shared" ca="1" si="100"/>
        <v>331.37767107766649</v>
      </c>
      <c r="J255" s="306">
        <f t="shared" ca="1" si="101"/>
        <v>132.09631404900452</v>
      </c>
      <c r="K255" s="307">
        <f t="shared" ca="1" si="102"/>
        <v>964.04740439173315</v>
      </c>
      <c r="L255" s="304">
        <f t="shared" ca="1" si="87"/>
        <v>973.05541162863437</v>
      </c>
      <c r="M255" s="306">
        <f t="shared" ca="1" si="103"/>
        <v>1.4197305749828082</v>
      </c>
      <c r="N255" s="304">
        <f t="shared" ca="1" si="104"/>
        <v>81.344569992196568</v>
      </c>
      <c r="P255" s="310">
        <f t="shared" ca="1" si="105"/>
        <v>7</v>
      </c>
      <c r="Q255" s="304">
        <f t="shared" ca="1" si="106"/>
        <v>511.97872340426625</v>
      </c>
      <c r="R255" s="306">
        <f t="shared" ca="1" si="107"/>
        <v>0.25693826730695013</v>
      </c>
      <c r="S255" s="307">
        <f t="shared" ca="1" si="108"/>
        <v>5.8179630288953028</v>
      </c>
      <c r="T255" s="304">
        <f t="shared" ca="1" si="88"/>
        <v>57.074217313462924</v>
      </c>
      <c r="U255" s="311">
        <f t="shared" ca="1" si="89"/>
        <v>0</v>
      </c>
      <c r="V255" s="306">
        <f t="shared" ca="1" si="90"/>
        <v>1.1123349170034336</v>
      </c>
      <c r="W255" s="304">
        <f t="shared" ca="1" si="91"/>
        <v>202.20696790455654</v>
      </c>
      <c r="Y255" s="314" t="str">
        <f t="shared" ca="1" si="109"/>
        <v/>
      </c>
      <c r="Z255" s="315" t="str">
        <f t="shared" ca="1" si="110"/>
        <v/>
      </c>
      <c r="AA255" s="316" t="str">
        <f t="shared" ca="1" si="111"/>
        <v/>
      </c>
      <c r="AC255" s="310" t="e">
        <f t="shared" ca="1" si="112"/>
        <v>#N/A</v>
      </c>
      <c r="AD255" s="323" t="e">
        <f t="shared" ca="1" si="113"/>
        <v>#N/A</v>
      </c>
      <c r="AE255" s="324">
        <f t="shared" ca="1" si="92"/>
        <v>964.04740439173315</v>
      </c>
      <c r="AG255" s="306">
        <f t="shared" ca="1" si="114"/>
        <v>43.625754836039576</v>
      </c>
      <c r="AH255" s="304">
        <f t="shared" ca="1" si="115"/>
        <v>53.324096965838322</v>
      </c>
    </row>
    <row r="256" spans="1:34" x14ac:dyDescent="0.2">
      <c r="A256" s="347">
        <f t="shared" ca="1" si="93"/>
        <v>0.01</v>
      </c>
      <c r="B256" s="304">
        <f t="shared" ca="1" si="94"/>
        <v>6.5199999999999463</v>
      </c>
      <c r="D256" s="306">
        <f t="shared" ca="1" si="95"/>
        <v>7.963459155856996</v>
      </c>
      <c r="E256" s="307">
        <f t="shared" ca="1" si="96"/>
        <v>42.503572283495878</v>
      </c>
      <c r="F256" s="304">
        <f t="shared" ca="1" si="97"/>
        <v>43.243153661422078</v>
      </c>
      <c r="G256" s="306">
        <f t="shared" ca="1" si="98"/>
        <v>49.949267387395331</v>
      </c>
      <c r="H256" s="307">
        <f t="shared" ca="1" si="99"/>
        <v>328.02873016730626</v>
      </c>
      <c r="I256" s="304">
        <f t="shared" ca="1" si="100"/>
        <v>331.8098508599661</v>
      </c>
      <c r="J256" s="306">
        <f t="shared" ca="1" si="101"/>
        <v>132.59540854992068</v>
      </c>
      <c r="K256" s="307">
        <f t="shared" ca="1" si="102"/>
        <v>967.32556651479206</v>
      </c>
      <c r="L256" s="304">
        <f t="shared" ca="1" si="87"/>
        <v>976.37098174909102</v>
      </c>
      <c r="M256" s="306">
        <f t="shared" ca="1" si="103"/>
        <v>1.4196860818832715</v>
      </c>
      <c r="N256" s="304">
        <f t="shared" ca="1" si="104"/>
        <v>81.342020725375662</v>
      </c>
      <c r="P256" s="310">
        <f t="shared" ca="1" si="105"/>
        <v>7</v>
      </c>
      <c r="Q256" s="304">
        <f t="shared" ca="1" si="106"/>
        <v>509.93617021277691</v>
      </c>
      <c r="R256" s="306">
        <f t="shared" ca="1" si="107"/>
        <v>0.25591320502620934</v>
      </c>
      <c r="S256" s="307">
        <f t="shared" ca="1" si="108"/>
        <v>5.8154038968450408</v>
      </c>
      <c r="T256" s="304">
        <f t="shared" ca="1" si="88"/>
        <v>57.04911222804985</v>
      </c>
      <c r="U256" s="311">
        <f t="shared" ca="1" si="89"/>
        <v>0</v>
      </c>
      <c r="V256" s="306">
        <f t="shared" ca="1" si="90"/>
        <v>1.1119694835212512</v>
      </c>
      <c r="W256" s="304">
        <f t="shared" ca="1" si="91"/>
        <v>202.66814076607918</v>
      </c>
      <c r="Y256" s="314" t="str">
        <f t="shared" ca="1" si="109"/>
        <v/>
      </c>
      <c r="Z256" s="315" t="str">
        <f t="shared" ca="1" si="110"/>
        <v/>
      </c>
      <c r="AA256" s="316" t="str">
        <f t="shared" ca="1" si="111"/>
        <v/>
      </c>
      <c r="AC256" s="310" t="e">
        <f t="shared" ca="1" si="112"/>
        <v>#N/A</v>
      </c>
      <c r="AD256" s="323" t="e">
        <f t="shared" ca="1" si="113"/>
        <v>#N/A</v>
      </c>
      <c r="AE256" s="324">
        <f t="shared" ca="1" si="92"/>
        <v>967.32556651479206</v>
      </c>
      <c r="AG256" s="306">
        <f t="shared" ca="1" si="114"/>
        <v>43.217945386825804</v>
      </c>
      <c r="AH256" s="304">
        <f t="shared" ca="1" si="115"/>
        <v>52.91622177355022</v>
      </c>
    </row>
    <row r="257" spans="1:34" x14ac:dyDescent="0.2">
      <c r="A257" s="347">
        <f t="shared" ca="1" si="93"/>
        <v>0.01</v>
      </c>
      <c r="B257" s="304">
        <f t="shared" ca="1" si="94"/>
        <v>6.5299999999999461</v>
      </c>
      <c r="D257" s="306">
        <f t="shared" ca="1" si="95"/>
        <v>7.9044405344629558</v>
      </c>
      <c r="E257" s="307">
        <f t="shared" ca="1" si="96"/>
        <v>42.100342770256091</v>
      </c>
      <c r="F257" s="304">
        <f t="shared" ca="1" si="97"/>
        <v>42.835955009033185</v>
      </c>
      <c r="G257" s="306">
        <f t="shared" ca="1" si="98"/>
        <v>50.028311792739963</v>
      </c>
      <c r="H257" s="307">
        <f t="shared" ca="1" si="99"/>
        <v>328.44973359500881</v>
      </c>
      <c r="I257" s="304">
        <f t="shared" ca="1" si="100"/>
        <v>332.23795610896696</v>
      </c>
      <c r="J257" s="306">
        <f t="shared" ca="1" si="101"/>
        <v>133.09529644582136</v>
      </c>
      <c r="K257" s="307">
        <f t="shared" ca="1" si="102"/>
        <v>970.60795883360367</v>
      </c>
      <c r="L257" s="304">
        <f t="shared" ca="1" si="87"/>
        <v>979.69085312007257</v>
      </c>
      <c r="M257" s="306">
        <f t="shared" ca="1" si="103"/>
        <v>1.4196416331274953</v>
      </c>
      <c r="N257" s="304">
        <f t="shared" ca="1" si="104"/>
        <v>81.339473999265067</v>
      </c>
      <c r="P257" s="310">
        <f t="shared" ca="1" si="105"/>
        <v>7</v>
      </c>
      <c r="Q257" s="304">
        <f t="shared" ca="1" si="106"/>
        <v>507.89361702128758</v>
      </c>
      <c r="R257" s="306">
        <f t="shared" ca="1" si="107"/>
        <v>0.2548881427454685</v>
      </c>
      <c r="S257" s="307">
        <f t="shared" ca="1" si="108"/>
        <v>5.8128550154175862</v>
      </c>
      <c r="T257" s="304">
        <f t="shared" ca="1" si="88"/>
        <v>57.024107701246521</v>
      </c>
      <c r="U257" s="311">
        <f t="shared" ca="1" si="89"/>
        <v>0</v>
      </c>
      <c r="V257" s="306">
        <f t="shared" ca="1" si="90"/>
        <v>1.111603692949177</v>
      </c>
      <c r="W257" s="304">
        <f t="shared" ca="1" si="91"/>
        <v>203.12460678611967</v>
      </c>
      <c r="Y257" s="314" t="str">
        <f t="shared" ca="1" si="109"/>
        <v/>
      </c>
      <c r="Z257" s="315" t="str">
        <f t="shared" ca="1" si="110"/>
        <v/>
      </c>
      <c r="AA257" s="316" t="str">
        <f t="shared" ca="1" si="111"/>
        <v/>
      </c>
      <c r="AC257" s="310" t="e">
        <f t="shared" ca="1" si="112"/>
        <v>#N/A</v>
      </c>
      <c r="AD257" s="323" t="e">
        <f t="shared" ca="1" si="113"/>
        <v>#N/A</v>
      </c>
      <c r="AE257" s="324">
        <f t="shared" ca="1" si="92"/>
        <v>970.60795883360367</v>
      </c>
      <c r="AG257" s="306">
        <f t="shared" ca="1" si="114"/>
        <v>42.810492080098058</v>
      </c>
      <c r="AH257" s="304">
        <f t="shared" ca="1" si="115"/>
        <v>52.508702770953505</v>
      </c>
    </row>
    <row r="258" spans="1:34" x14ac:dyDescent="0.2">
      <c r="A258" s="347">
        <f t="shared" ca="1" si="93"/>
        <v>0.01</v>
      </c>
      <c r="B258" s="304">
        <f t="shared" ca="1" si="94"/>
        <v>6.5399999999999459</v>
      </c>
      <c r="D258" s="306">
        <f t="shared" ca="1" si="95"/>
        <v>7.8454380656751317</v>
      </c>
      <c r="E258" s="307">
        <f t="shared" ca="1" si="96"/>
        <v>41.697475472739889</v>
      </c>
      <c r="F258" s="304">
        <f t="shared" ca="1" si="97"/>
        <v>42.429121594043032</v>
      </c>
      <c r="G258" s="306">
        <f t="shared" ca="1" si="98"/>
        <v>50.106766173396714</v>
      </c>
      <c r="H258" s="307">
        <f t="shared" ca="1" si="99"/>
        <v>328.8667083497362</v>
      </c>
      <c r="I258" s="304">
        <f t="shared" ca="1" si="100"/>
        <v>332.66199043044566</v>
      </c>
      <c r="J258" s="306">
        <f t="shared" ca="1" si="101"/>
        <v>133.59597183565205</v>
      </c>
      <c r="K258" s="307">
        <f t="shared" ca="1" si="102"/>
        <v>973.89454104332742</v>
      </c>
      <c r="L258" s="304">
        <f t="shared" ca="1" si="87"/>
        <v>983.01498501533831</v>
      </c>
      <c r="M258" s="306">
        <f t="shared" ca="1" si="103"/>
        <v>1.4195972280709663</v>
      </c>
      <c r="N258" s="304">
        <f t="shared" ca="1" si="104"/>
        <v>81.336929776936927</v>
      </c>
      <c r="P258" s="310">
        <f t="shared" ca="1" si="105"/>
        <v>7</v>
      </c>
      <c r="Q258" s="304">
        <f t="shared" ca="1" si="106"/>
        <v>505.85106382979825</v>
      </c>
      <c r="R258" s="306">
        <f t="shared" ca="1" si="107"/>
        <v>0.25386308046472772</v>
      </c>
      <c r="S258" s="307">
        <f t="shared" ca="1" si="108"/>
        <v>5.8103163846129391</v>
      </c>
      <c r="T258" s="304">
        <f t="shared" ca="1" si="88"/>
        <v>56.999203733052937</v>
      </c>
      <c r="U258" s="311">
        <f t="shared" ca="1" si="89"/>
        <v>0</v>
      </c>
      <c r="V258" s="306">
        <f t="shared" ca="1" si="90"/>
        <v>1.1112375501656615</v>
      </c>
      <c r="W258" s="304">
        <f t="shared" ca="1" si="91"/>
        <v>203.5763557541631</v>
      </c>
      <c r="Y258" s="314" t="str">
        <f t="shared" ca="1" si="109"/>
        <v/>
      </c>
      <c r="Z258" s="315" t="str">
        <f t="shared" ca="1" si="110"/>
        <v/>
      </c>
      <c r="AA258" s="316" t="str">
        <f t="shared" ca="1" si="111"/>
        <v/>
      </c>
      <c r="AC258" s="310" t="e">
        <f t="shared" ca="1" si="112"/>
        <v>#N/A</v>
      </c>
      <c r="AD258" s="323" t="e">
        <f t="shared" ca="1" si="113"/>
        <v>#N/A</v>
      </c>
      <c r="AE258" s="324">
        <f t="shared" ca="1" si="92"/>
        <v>973.89454104332742</v>
      </c>
      <c r="AG258" s="306">
        <f t="shared" ca="1" si="114"/>
        <v>42.403399350571149</v>
      </c>
      <c r="AH258" s="304">
        <f t="shared" ca="1" si="115"/>
        <v>52.10154439186276</v>
      </c>
    </row>
    <row r="259" spans="1:34" x14ac:dyDescent="0.2">
      <c r="A259" s="347">
        <f t="shared" ca="1" si="93"/>
        <v>0.01</v>
      </c>
      <c r="B259" s="304">
        <f t="shared" ca="1" si="94"/>
        <v>6.5499999999999456</v>
      </c>
      <c r="D259" s="306">
        <f t="shared" ca="1" si="95"/>
        <v>7.7864525446863952</v>
      </c>
      <c r="E259" s="307">
        <f t="shared" ca="1" si="96"/>
        <v>41.294974710022309</v>
      </c>
      <c r="F259" s="304">
        <f t="shared" ca="1" si="97"/>
        <v>42.022657930359848</v>
      </c>
      <c r="G259" s="306">
        <f t="shared" ca="1" si="98"/>
        <v>50.184630698843577</v>
      </c>
      <c r="H259" s="307">
        <f t="shared" ca="1" si="99"/>
        <v>329.27965809683644</v>
      </c>
      <c r="I259" s="304">
        <f t="shared" ca="1" si="100"/>
        <v>333.08195747405597</v>
      </c>
      <c r="J259" s="306">
        <f t="shared" ca="1" si="101"/>
        <v>134.09742882001325</v>
      </c>
      <c r="K259" s="307">
        <f t="shared" ca="1" si="102"/>
        <v>977.18527287556026</v>
      </c>
      <c r="L259" s="304">
        <f t="shared" ca="1" si="87"/>
        <v>986.34333674487902</v>
      </c>
      <c r="M259" s="306">
        <f t="shared" ca="1" si="103"/>
        <v>1.4195528660735339</v>
      </c>
      <c r="N259" s="304">
        <f t="shared" ca="1" si="104"/>
        <v>81.334388021713281</v>
      </c>
      <c r="P259" s="310">
        <f t="shared" ca="1" si="105"/>
        <v>7</v>
      </c>
      <c r="Q259" s="304">
        <f t="shared" ca="1" si="106"/>
        <v>503.80851063830897</v>
      </c>
      <c r="R259" s="306">
        <f t="shared" ca="1" si="107"/>
        <v>0.25283801818398688</v>
      </c>
      <c r="S259" s="307">
        <f t="shared" ca="1" si="108"/>
        <v>5.8077880044310994</v>
      </c>
      <c r="T259" s="304">
        <f t="shared" ca="1" si="88"/>
        <v>56.974400323469091</v>
      </c>
      <c r="U259" s="311">
        <f t="shared" ca="1" si="89"/>
        <v>0</v>
      </c>
      <c r="V259" s="306">
        <f t="shared" ca="1" si="90"/>
        <v>1.1108710600396514</v>
      </c>
      <c r="W259" s="304">
        <f t="shared" ca="1" si="91"/>
        <v>204.0233777540499</v>
      </c>
      <c r="Y259" s="314" t="str">
        <f t="shared" ca="1" si="109"/>
        <v/>
      </c>
      <c r="Z259" s="315" t="str">
        <f t="shared" ca="1" si="110"/>
        <v/>
      </c>
      <c r="AA259" s="316" t="str">
        <f t="shared" ca="1" si="111"/>
        <v/>
      </c>
      <c r="AC259" s="310" t="e">
        <f t="shared" ca="1" si="112"/>
        <v>#N/A</v>
      </c>
      <c r="AD259" s="323" t="e">
        <f t="shared" ca="1" si="113"/>
        <v>#N/A</v>
      </c>
      <c r="AE259" s="324">
        <f t="shared" ca="1" si="92"/>
        <v>977.18527287556026</v>
      </c>
      <c r="AG259" s="306">
        <f t="shared" ca="1" si="114"/>
        <v>41.996671585984942</v>
      </c>
      <c r="AH259" s="304">
        <f t="shared" ca="1" si="115"/>
        <v>51.694751023122969</v>
      </c>
    </row>
    <row r="260" spans="1:34" x14ac:dyDescent="0.2">
      <c r="A260" s="347">
        <f t="shared" ca="1" si="93"/>
        <v>0.01</v>
      </c>
      <c r="B260" s="304">
        <f t="shared" ca="1" si="94"/>
        <v>6.5599999999999454</v>
      </c>
      <c r="D260" s="306">
        <f t="shared" ca="1" si="95"/>
        <v>7.7274847590359936</v>
      </c>
      <c r="E260" s="307">
        <f t="shared" ca="1" si="96"/>
        <v>40.892844754868769</v>
      </c>
      <c r="F260" s="304">
        <f t="shared" ca="1" si="97"/>
        <v>41.61656848956833</v>
      </c>
      <c r="G260" s="306">
        <f t="shared" ca="1" si="98"/>
        <v>50.261905546433937</v>
      </c>
      <c r="H260" s="307">
        <f t="shared" ca="1" si="99"/>
        <v>329.68858654438515</v>
      </c>
      <c r="I260" s="304">
        <f t="shared" ca="1" si="100"/>
        <v>333.49786093285991</v>
      </c>
      <c r="J260" s="306">
        <f t="shared" ca="1" si="101"/>
        <v>134.59966150123964</v>
      </c>
      <c r="K260" s="307">
        <f t="shared" ca="1" si="102"/>
        <v>980.48011409876642</v>
      </c>
      <c r="L260" s="304">
        <f t="shared" ref="L260:L323" ca="1" si="116">SQRT(pos_x^2+pos_z^2)</f>
        <v>989.6758676553543</v>
      </c>
      <c r="M260" s="306">
        <f t="shared" ca="1" si="103"/>
        <v>1.4195085464993449</v>
      </c>
      <c r="N260" s="304">
        <f t="shared" ca="1" si="104"/>
        <v>81.331848697162428</v>
      </c>
      <c r="P260" s="310">
        <f t="shared" ca="1" si="105"/>
        <v>7</v>
      </c>
      <c r="Q260" s="304">
        <f t="shared" ca="1" si="106"/>
        <v>501.76595744681964</v>
      </c>
      <c r="R260" s="306">
        <f t="shared" ca="1" si="107"/>
        <v>0.25181295590324609</v>
      </c>
      <c r="S260" s="307">
        <f t="shared" ca="1" si="108"/>
        <v>5.8052698748720672</v>
      </c>
      <c r="T260" s="304">
        <f t="shared" ref="T260:T323" ca="1" si="117">m*g</f>
        <v>56.949697472494982</v>
      </c>
      <c r="U260" s="311">
        <f t="shared" ref="U260:U323" ca="1" si="118">IF(pos_xz&lt;L_rampe,Poids*COS(Beta),0)</f>
        <v>0</v>
      </c>
      <c r="V260" s="306">
        <f t="shared" ref="V260:V323" ca="1" si="119">Rho_moyen*(20000-Alt_rampe-pos_z)/(20000+Alt_rampe+pos_z)</f>
        <v>1.1105042274305379</v>
      </c>
      <c r="W260" s="304">
        <f t="shared" ref="W260:W323" ca="1" si="120">1/2*Rho*Sref*Cx*vit_xz^2</f>
        <v>204.46566316259467</v>
      </c>
      <c r="Y260" s="314" t="str">
        <f t="shared" ca="1" si="109"/>
        <v/>
      </c>
      <c r="Z260" s="315" t="str">
        <f t="shared" ca="1" si="110"/>
        <v/>
      </c>
      <c r="AA260" s="316" t="str">
        <f t="shared" ca="1" si="111"/>
        <v/>
      </c>
      <c r="AC260" s="310" t="e">
        <f t="shared" ca="1" si="112"/>
        <v>#N/A</v>
      </c>
      <c r="AD260" s="323" t="e">
        <f t="shared" ca="1" si="113"/>
        <v>#N/A</v>
      </c>
      <c r="AE260" s="324">
        <f t="shared" ref="AE260:AE323" ca="1" si="121">IF(t&lt;T_para, pos_z, NA())</f>
        <v>980.48011409876642</v>
      </c>
      <c r="AG260" s="306">
        <f t="shared" ca="1" si="114"/>
        <v>41.590313127159959</v>
      </c>
      <c r="AH260" s="304">
        <f t="shared" ca="1" si="115"/>
        <v>51.288327004665078</v>
      </c>
    </row>
    <row r="261" spans="1:34" x14ac:dyDescent="0.2">
      <c r="A261" s="347">
        <f t="shared" ref="A261:A324" ca="1" si="122">IF(B260+0.01&lt;=T_ini+ROUNDUP(Temps_fin_propu,0), 0.01, IF(K260&gt;0, 0.1, 0.0001))</f>
        <v>0.01</v>
      </c>
      <c r="B261" s="304">
        <f t="shared" ref="B261:B324" ca="1" si="123">B260+pas</f>
        <v>6.5699999999999452</v>
      </c>
      <c r="D261" s="306">
        <f t="shared" ref="D261:D324" ca="1" si="124">IF(AND(L260&lt;L_rampe,Poussee&lt;Poids*SIN(M260)),0,(-W260+Poussee)/m*COS(M260)-U260/m*SIN(M260))</f>
        <v>7.6685354886207096</v>
      </c>
      <c r="E261" s="307">
        <f t="shared" ref="E261:E324" ca="1" si="125">IF(AND(L260&lt;L_rampe,Poussee&lt;Poids*SIN(M260)),0,(-W260+Poussee)/m*SIN(M260)+U260/m*COS(M260)-Poids/m)</f>
        <v>40.491089833793509</v>
      </c>
      <c r="F261" s="304">
        <f t="shared" ref="F261:F324" ca="1" si="126">SQRT(acc_x^2+acc_z^2)</f>
        <v>41.210857701200197</v>
      </c>
      <c r="G261" s="306">
        <f t="shared" ref="G261:G324" ca="1" si="127">G260+acc_x*pas</f>
        <v>50.338590901320146</v>
      </c>
      <c r="H261" s="307">
        <f t="shared" ref="H261:H324" ca="1" si="128">H260+acc_z*pas</f>
        <v>330.09349744272311</v>
      </c>
      <c r="I261" s="304">
        <f t="shared" ref="I261:I324" ca="1" si="129">SQRT(vit_x^2+vit_z^2)</f>
        <v>333.90970454285917</v>
      </c>
      <c r="J261" s="306">
        <f t="shared" ref="J261:J324" ca="1" si="130">J260+0.5*(vit_x+G260)*pas*(K260&gt;=0)</f>
        <v>135.10266398347841</v>
      </c>
      <c r="K261" s="307">
        <f t="shared" ref="K261:K324" ca="1" si="131">K260+0.5*(vit_z+H260)*pas</f>
        <v>983.77902451870193</v>
      </c>
      <c r="L261" s="304">
        <f t="shared" ca="1" si="116"/>
        <v>993.01253713052461</v>
      </c>
      <c r="M261" s="306">
        <f t="shared" ref="M261:M324" ca="1" si="132">IF(AND(L260&gt;L_rampe,G261&gt;0),ATAN2(G261,H261),$M$4)</f>
        <v>1.4194642687167818</v>
      </c>
      <c r="N261" s="304">
        <f t="shared" ref="N261:N324" ca="1" si="133">DEGREES(Beta)</f>
        <v>81.329311767095362</v>
      </c>
      <c r="P261" s="310">
        <f t="shared" ref="P261:P324" ca="1" si="134">MATCH(t-pas/2-T_ini,CdP_t)</f>
        <v>7</v>
      </c>
      <c r="Q261" s="304">
        <f t="shared" ref="Q261:Q324" ca="1" si="135">(INDEX(CdP,2,i_P+1)-INDEX(CdP,2,i_P+0))/(INDEX(CdP,1,i_P+1)-INDEX(CdP,1,i_P+0))*(t-pas/2-T_ini-INDEX(CdP,1,i_P+0))+INDEX(CdP,2,i_P+0)</f>
        <v>499.72340425533031</v>
      </c>
      <c r="R261" s="306">
        <f t="shared" ref="R261:R324" ca="1" si="136">Poussee/(g*ISP)</f>
        <v>0.25078789362250525</v>
      </c>
      <c r="S261" s="307">
        <f t="shared" ref="S261:S324" ca="1" si="137">S260-Débit*pas</f>
        <v>5.8027619959358425</v>
      </c>
      <c r="T261" s="304">
        <f t="shared" ca="1" si="117"/>
        <v>56.925095180130619</v>
      </c>
      <c r="U261" s="311">
        <f t="shared" ca="1" si="118"/>
        <v>0</v>
      </c>
      <c r="V261" s="306">
        <f t="shared" ca="1" si="119"/>
        <v>1.1101370571881009</v>
      </c>
      <c r="W261" s="304">
        <f t="shared" ca="1" si="120"/>
        <v>204.9032026481909</v>
      </c>
      <c r="Y261" s="314" t="str">
        <f t="shared" ref="Y261:Y324" ca="1" si="138">IF(AND(pos_z&lt;=0,K260&gt;0),"Impact balistique","") &amp; IF(AND(H262&lt;0,vit_z&gt;=0),"Apogée","") &amp; IF(AND(Poussee=0,Q260&gt;0),"Fin de propulsion","") &amp; IF(AND(L262&gt;L_rampe,pos_xz&lt;=L_rampe),"Sortie de rampe","")</f>
        <v/>
      </c>
      <c r="Z261" s="315" t="str">
        <f t="shared" ref="Z261:Z324" ca="1" si="139">IF(ABS(t-T_para)&lt;pas/2,"Para","")</f>
        <v/>
      </c>
      <c r="AA261" s="316" t="str">
        <f t="shared" ref="AA261:AA324" ca="1" si="140">IF(ABS(t-T_satellite)&lt;pas/2,"Satellite","")</f>
        <v/>
      </c>
      <c r="AC261" s="310" t="e">
        <f t="shared" ref="AC261:AC324" ca="1" si="141">IF(ABS(t-ROUND(t,0))&lt;0.001,t,NA())</f>
        <v>#N/A</v>
      </c>
      <c r="AD261" s="323" t="e">
        <f t="shared" ref="AD261:AD324" ca="1" si="142">IF(ABS(t-ROUND(t,0))&lt;0.001,pos_x,NA())</f>
        <v>#N/A</v>
      </c>
      <c r="AE261" s="324">
        <f t="shared" ca="1" si="121"/>
        <v>983.77902451870193</v>
      </c>
      <c r="AG261" s="306">
        <f t="shared" ref="AG261:AG324" ca="1" si="143">IF(AND(L260&lt;L_rampe,Poussee&lt;Poids*SIN(M260)),0,(-W260+Poussee)/m-Poids*SIN(M260)/m)</f>
        <v>41.184328268056731</v>
      </c>
      <c r="AH261" s="304">
        <f t="shared" ref="AH261:AH324" ca="1" si="144">IF(AND(L260&lt;L_rampe,Poussee&lt;Poids*SIN(M260)), g*SIN(M260), (-W260+Poussee)/m)</f>
        <v>50.882276629565233</v>
      </c>
    </row>
    <row r="262" spans="1:34" x14ac:dyDescent="0.2">
      <c r="A262" s="347">
        <f t="shared" ca="1" si="122"/>
        <v>0.01</v>
      </c>
      <c r="B262" s="304">
        <f t="shared" ca="1" si="123"/>
        <v>6.579999999999945</v>
      </c>
      <c r="D262" s="306">
        <f t="shared" ca="1" si="124"/>
        <v>7.609605505706341</v>
      </c>
      <c r="E262" s="307">
        <f t="shared" ca="1" si="125"/>
        <v>40.089714127121717</v>
      </c>
      <c r="F262" s="304">
        <f t="shared" ca="1" si="126"/>
        <v>40.805529953020077</v>
      </c>
      <c r="G262" s="306">
        <f t="shared" ca="1" si="127"/>
        <v>50.41468695637721</v>
      </c>
      <c r="H262" s="307">
        <f t="shared" ca="1" si="128"/>
        <v>330.49439458399434</v>
      </c>
      <c r="I262" s="304">
        <f t="shared" ca="1" si="129"/>
        <v>334.31749208252694</v>
      </c>
      <c r="J262" s="306">
        <f t="shared" ca="1" si="130"/>
        <v>135.60643037276691</v>
      </c>
      <c r="K262" s="307">
        <f t="shared" ca="1" si="131"/>
        <v>987.08196397883557</v>
      </c>
      <c r="L262" s="304">
        <f t="shared" ca="1" si="116"/>
        <v>996.35330459167915</v>
      </c>
      <c r="M262" s="306">
        <f t="shared" ca="1" si="132"/>
        <v>1.4194200320984007</v>
      </c>
      <c r="N262" s="304">
        <f t="shared" ca="1" si="133"/>
        <v>81.326777195562201</v>
      </c>
      <c r="P262" s="310">
        <f t="shared" ca="1" si="134"/>
        <v>7</v>
      </c>
      <c r="Q262" s="304">
        <f t="shared" ca="1" si="135"/>
        <v>497.68085106384103</v>
      </c>
      <c r="R262" s="306">
        <f t="shared" ca="1" si="136"/>
        <v>0.24976283134176447</v>
      </c>
      <c r="S262" s="307">
        <f t="shared" ca="1" si="137"/>
        <v>5.8002643676224253</v>
      </c>
      <c r="T262" s="304">
        <f t="shared" ca="1" si="117"/>
        <v>56.900593446375993</v>
      </c>
      <c r="U262" s="311">
        <f t="shared" ca="1" si="118"/>
        <v>0</v>
      </c>
      <c r="V262" s="306">
        <f t="shared" ca="1" si="119"/>
        <v>1.1097695541524601</v>
      </c>
      <c r="W262" s="304">
        <f t="shared" ca="1" si="120"/>
        <v>205.3359871694031</v>
      </c>
      <c r="Y262" s="314" t="str">
        <f t="shared" ca="1" si="138"/>
        <v/>
      </c>
      <c r="Z262" s="315" t="str">
        <f t="shared" ca="1" si="139"/>
        <v/>
      </c>
      <c r="AA262" s="316" t="str">
        <f t="shared" ca="1" si="140"/>
        <v/>
      </c>
      <c r="AC262" s="310" t="e">
        <f t="shared" ca="1" si="141"/>
        <v>#N/A</v>
      </c>
      <c r="AD262" s="323" t="e">
        <f t="shared" ca="1" si="142"/>
        <v>#N/A</v>
      </c>
      <c r="AE262" s="324">
        <f t="shared" ca="1" si="121"/>
        <v>987.08196397883557</v>
      </c>
      <c r="AG262" s="306">
        <f t="shared" ca="1" si="143"/>
        <v>40.778721255838775</v>
      </c>
      <c r="AH262" s="304">
        <f t="shared" ca="1" si="144"/>
        <v>50.476604144107661</v>
      </c>
    </row>
    <row r="263" spans="1:34" x14ac:dyDescent="0.2">
      <c r="A263" s="347">
        <f t="shared" ca="1" si="122"/>
        <v>0.01</v>
      </c>
      <c r="B263" s="304">
        <f t="shared" ca="1" si="123"/>
        <v>6.5899999999999448</v>
      </c>
      <c r="D263" s="306">
        <f t="shared" ca="1" si="124"/>
        <v>7.5506955749396791</v>
      </c>
      <c r="E263" s="307">
        <f t="shared" ca="1" si="125"/>
        <v>39.688721769055256</v>
      </c>
      <c r="F263" s="304">
        <f t="shared" ca="1" si="126"/>
        <v>40.400589591327673</v>
      </c>
      <c r="G263" s="306">
        <f t="shared" ca="1" si="127"/>
        <v>50.490193912126607</v>
      </c>
      <c r="H263" s="307">
        <f t="shared" ca="1" si="128"/>
        <v>330.8912818016849</v>
      </c>
      <c r="I263" s="304">
        <f t="shared" ca="1" si="129"/>
        <v>334.72122737234071</v>
      </c>
      <c r="J263" s="306">
        <f t="shared" ca="1" si="130"/>
        <v>136.11095477710944</v>
      </c>
      <c r="K263" s="307">
        <f t="shared" ca="1" si="131"/>
        <v>990.38889236076398</v>
      </c>
      <c r="L263" s="304">
        <f t="shared" ca="1" si="116"/>
        <v>999.69812949805862</v>
      </c>
      <c r="M263" s="306">
        <f t="shared" ca="1" si="132"/>
        <v>1.4193758360208693</v>
      </c>
      <c r="N263" s="304">
        <f t="shared" ca="1" si="133"/>
        <v>81.324244946848609</v>
      </c>
      <c r="P263" s="310">
        <f t="shared" ca="1" si="134"/>
        <v>7</v>
      </c>
      <c r="Q263" s="304">
        <f t="shared" ca="1" si="135"/>
        <v>495.6382978723517</v>
      </c>
      <c r="R263" s="306">
        <f t="shared" ca="1" si="136"/>
        <v>0.24873776906102366</v>
      </c>
      <c r="S263" s="307">
        <f t="shared" ca="1" si="137"/>
        <v>5.7977769899318155</v>
      </c>
      <c r="T263" s="304">
        <f t="shared" ca="1" si="117"/>
        <v>56.876192271231112</v>
      </c>
      <c r="U263" s="311">
        <f t="shared" ca="1" si="118"/>
        <v>0</v>
      </c>
      <c r="V263" s="306">
        <f t="shared" ca="1" si="119"/>
        <v>1.1094017231540216</v>
      </c>
      <c r="W263" s="304">
        <f t="shared" ca="1" si="120"/>
        <v>205.7640079735462</v>
      </c>
      <c r="Y263" s="314" t="str">
        <f t="shared" ca="1" si="138"/>
        <v/>
      </c>
      <c r="Z263" s="315" t="str">
        <f t="shared" ca="1" si="139"/>
        <v/>
      </c>
      <c r="AA263" s="316" t="str">
        <f t="shared" ca="1" si="140"/>
        <v/>
      </c>
      <c r="AC263" s="310" t="e">
        <f t="shared" ca="1" si="141"/>
        <v>#N/A</v>
      </c>
      <c r="AD263" s="323" t="e">
        <f t="shared" ca="1" si="142"/>
        <v>#N/A</v>
      </c>
      <c r="AE263" s="324">
        <f t="shared" ca="1" si="121"/>
        <v>990.38889236076398</v>
      </c>
      <c r="AG263" s="306">
        <f t="shared" ca="1" si="143"/>
        <v>40.373496290939208</v>
      </c>
      <c r="AH263" s="304">
        <f t="shared" ca="1" si="144"/>
        <v>50.071313747851256</v>
      </c>
    </row>
    <row r="264" spans="1:34" x14ac:dyDescent="0.2">
      <c r="A264" s="347">
        <f t="shared" ca="1" si="122"/>
        <v>0.01</v>
      </c>
      <c r="B264" s="304">
        <f t="shared" ca="1" si="123"/>
        <v>6.5999999999999446</v>
      </c>
      <c r="D264" s="306">
        <f t="shared" ca="1" si="124"/>
        <v>7.4918064533609714</v>
      </c>
      <c r="E264" s="307">
        <f t="shared" ca="1" si="125"/>
        <v>39.288116847742053</v>
      </c>
      <c r="F264" s="304">
        <f t="shared" ca="1" si="126"/>
        <v>39.996040921276872</v>
      </c>
      <c r="G264" s="306">
        <f t="shared" ca="1" si="127"/>
        <v>50.565111976660219</v>
      </c>
      <c r="H264" s="307">
        <f t="shared" ca="1" si="128"/>
        <v>331.2841629701623</v>
      </c>
      <c r="I264" s="304">
        <f t="shared" ca="1" si="129"/>
        <v>335.12091427431568</v>
      </c>
      <c r="J264" s="306">
        <f t="shared" ca="1" si="130"/>
        <v>136.61623130655337</v>
      </c>
      <c r="K264" s="307">
        <f t="shared" ca="1" si="131"/>
        <v>993.69976958462325</v>
      </c>
      <c r="L264" s="304">
        <f t="shared" ca="1" si="116"/>
        <v>1003.0469713472739</v>
      </c>
      <c r="M264" s="306">
        <f t="shared" ca="1" si="132"/>
        <v>1.4193316798649072</v>
      </c>
      <c r="N264" s="304">
        <f t="shared" ca="1" si="133"/>
        <v>81.321714985472468</v>
      </c>
      <c r="P264" s="310">
        <f t="shared" ca="1" si="134"/>
        <v>7</v>
      </c>
      <c r="Q264" s="304">
        <f t="shared" ca="1" si="135"/>
        <v>493.59574468086237</v>
      </c>
      <c r="R264" s="306">
        <f t="shared" ca="1" si="136"/>
        <v>0.24771270678028284</v>
      </c>
      <c r="S264" s="307">
        <f t="shared" ca="1" si="137"/>
        <v>5.7952998628640122</v>
      </c>
      <c r="T264" s="304">
        <f t="shared" ca="1" si="117"/>
        <v>56.851891654695962</v>
      </c>
      <c r="U264" s="311">
        <f t="shared" ca="1" si="118"/>
        <v>0</v>
      </c>
      <c r="V264" s="306">
        <f t="shared" ca="1" si="119"/>
        <v>1.1090335690134292</v>
      </c>
      <c r="W264" s="304">
        <f t="shared" ca="1" si="120"/>
        <v>206.18725659525271</v>
      </c>
      <c r="Y264" s="314" t="str">
        <f t="shared" ca="1" si="138"/>
        <v/>
      </c>
      <c r="Z264" s="315" t="str">
        <f t="shared" ca="1" si="139"/>
        <v/>
      </c>
      <c r="AA264" s="316" t="str">
        <f t="shared" ca="1" si="140"/>
        <v/>
      </c>
      <c r="AC264" s="310" t="e">
        <f t="shared" ca="1" si="141"/>
        <v>#N/A</v>
      </c>
      <c r="AD264" s="323" t="e">
        <f t="shared" ca="1" si="142"/>
        <v>#N/A</v>
      </c>
      <c r="AE264" s="324">
        <f t="shared" ca="1" si="121"/>
        <v>993.69976958462325</v>
      </c>
      <c r="AG264" s="306">
        <f t="shared" ca="1" si="143"/>
        <v>39.968657527131072</v>
      </c>
      <c r="AH264" s="304">
        <f t="shared" ca="1" si="144"/>
        <v>49.666409593699775</v>
      </c>
    </row>
    <row r="265" spans="1:34" x14ac:dyDescent="0.2">
      <c r="A265" s="347">
        <f t="shared" ca="1" si="122"/>
        <v>0.01</v>
      </c>
      <c r="B265" s="304">
        <f t="shared" ca="1" si="123"/>
        <v>6.6099999999999444</v>
      </c>
      <c r="D265" s="306">
        <f t="shared" ca="1" si="124"/>
        <v>7.4329388904166533</v>
      </c>
      <c r="E265" s="307">
        <f t="shared" ca="1" si="125"/>
        <v>38.887903405348844</v>
      </c>
      <c r="F265" s="304">
        <f t="shared" ca="1" si="126"/>
        <v>39.591888207212477</v>
      </c>
      <c r="G265" s="306">
        <f t="shared" ca="1" si="127"/>
        <v>50.639441365564387</v>
      </c>
      <c r="H265" s="307">
        <f t="shared" ca="1" si="128"/>
        <v>331.6730420042158</v>
      </c>
      <c r="I265" s="304">
        <f t="shared" ca="1" si="129"/>
        <v>335.51655669153905</v>
      </c>
      <c r="J265" s="306">
        <f t="shared" ca="1" si="130"/>
        <v>137.12225407326449</v>
      </c>
      <c r="K265" s="307">
        <f t="shared" ca="1" si="131"/>
        <v>997.01455560949512</v>
      </c>
      <c r="L265" s="304">
        <f t="shared" ca="1" si="116"/>
        <v>1006.3997896757193</v>
      </c>
      <c r="M265" s="306">
        <f t="shared" ca="1" si="132"/>
        <v>1.4192875630152266</v>
      </c>
      <c r="N265" s="304">
        <f t="shared" ca="1" si="133"/>
        <v>81.319187276180358</v>
      </c>
      <c r="P265" s="310">
        <f t="shared" ca="1" si="134"/>
        <v>7</v>
      </c>
      <c r="Q265" s="304">
        <f t="shared" ca="1" si="135"/>
        <v>491.55319148937303</v>
      </c>
      <c r="R265" s="306">
        <f t="shared" ca="1" si="136"/>
        <v>0.246687644499542</v>
      </c>
      <c r="S265" s="307">
        <f t="shared" ca="1" si="137"/>
        <v>5.7928329864190164</v>
      </c>
      <c r="T265" s="304">
        <f t="shared" ca="1" si="117"/>
        <v>56.827691596770556</v>
      </c>
      <c r="U265" s="311">
        <f t="shared" ca="1" si="118"/>
        <v>0</v>
      </c>
      <c r="V265" s="306">
        <f t="shared" ca="1" si="119"/>
        <v>1.1086650965415137</v>
      </c>
      <c r="W265" s="304">
        <f t="shared" ca="1" si="120"/>
        <v>206.60572485502803</v>
      </c>
      <c r="Y265" s="314" t="str">
        <f t="shared" ca="1" si="138"/>
        <v/>
      </c>
      <c r="Z265" s="315" t="str">
        <f t="shared" ca="1" si="139"/>
        <v/>
      </c>
      <c r="AA265" s="316" t="str">
        <f t="shared" ca="1" si="140"/>
        <v/>
      </c>
      <c r="AC265" s="310" t="e">
        <f t="shared" ca="1" si="141"/>
        <v>#N/A</v>
      </c>
      <c r="AD265" s="323" t="e">
        <f t="shared" ca="1" si="142"/>
        <v>#N/A</v>
      </c>
      <c r="AE265" s="324">
        <f t="shared" ca="1" si="121"/>
        <v>997.01455560949512</v>
      </c>
      <c r="AG265" s="306">
        <f t="shared" ca="1" si="143"/>
        <v>39.56420907160102</v>
      </c>
      <c r="AH265" s="304">
        <f t="shared" ca="1" si="144"/>
        <v>49.261895787975469</v>
      </c>
    </row>
    <row r="266" spans="1:34" x14ac:dyDescent="0.2">
      <c r="A266" s="347">
        <f t="shared" ca="1" si="122"/>
        <v>0.01</v>
      </c>
      <c r="B266" s="304">
        <f t="shared" ca="1" si="123"/>
        <v>6.6199999999999442</v>
      </c>
      <c r="D266" s="306">
        <f t="shared" ca="1" si="124"/>
        <v>7.3740936279726217</v>
      </c>
      <c r="E266" s="307">
        <f t="shared" ca="1" si="125"/>
        <v>38.488085438137531</v>
      </c>
      <c r="F266" s="304">
        <f t="shared" ca="1" si="126"/>
        <v>39.188135673025847</v>
      </c>
      <c r="G266" s="306">
        <f t="shared" ca="1" si="127"/>
        <v>50.713182301844114</v>
      </c>
      <c r="H266" s="307">
        <f t="shared" ca="1" si="128"/>
        <v>332.05792285859718</v>
      </c>
      <c r="I266" s="304">
        <f t="shared" ca="1" si="129"/>
        <v>335.90815856770456</v>
      </c>
      <c r="J266" s="306">
        <f t="shared" ca="1" si="130"/>
        <v>137.62901719160152</v>
      </c>
      <c r="K266" s="307">
        <f t="shared" ca="1" si="131"/>
        <v>1000.3332104338092</v>
      </c>
      <c r="L266" s="304">
        <f t="shared" ca="1" si="116"/>
        <v>1009.7565440589815</v>
      </c>
      <c r="M266" s="306">
        <f t="shared" ca="1" si="132"/>
        <v>1.4192434848604727</v>
      </c>
      <c r="N266" s="304">
        <f t="shared" ca="1" si="133"/>
        <v>81.316661783944227</v>
      </c>
      <c r="P266" s="310">
        <f t="shared" ca="1" si="134"/>
        <v>7</v>
      </c>
      <c r="Q266" s="304">
        <f t="shared" ca="1" si="135"/>
        <v>489.51063829788376</v>
      </c>
      <c r="R266" s="306">
        <f t="shared" ca="1" si="136"/>
        <v>0.24566258221880122</v>
      </c>
      <c r="S266" s="307">
        <f t="shared" ca="1" si="137"/>
        <v>5.7903763605968281</v>
      </c>
      <c r="T266" s="304">
        <f t="shared" ca="1" si="117"/>
        <v>56.803592097454889</v>
      </c>
      <c r="U266" s="311">
        <f t="shared" ca="1" si="118"/>
        <v>0</v>
      </c>
      <c r="V266" s="306">
        <f t="shared" ca="1" si="119"/>
        <v>1.108296310539246</v>
      </c>
      <c r="W266" s="304">
        <f t="shared" ca="1" si="120"/>
        <v>207.01940485779332</v>
      </c>
      <c r="Y266" s="314" t="str">
        <f t="shared" ca="1" si="138"/>
        <v/>
      </c>
      <c r="Z266" s="315" t="str">
        <f t="shared" ca="1" si="139"/>
        <v/>
      </c>
      <c r="AA266" s="316" t="str">
        <f t="shared" ca="1" si="140"/>
        <v/>
      </c>
      <c r="AC266" s="310" t="e">
        <f t="shared" ca="1" si="141"/>
        <v>#N/A</v>
      </c>
      <c r="AD266" s="323" t="e">
        <f t="shared" ca="1" si="142"/>
        <v>#N/A</v>
      </c>
      <c r="AE266" s="324">
        <f t="shared" ca="1" si="121"/>
        <v>1000.3332104338092</v>
      </c>
      <c r="AG266" s="306">
        <f t="shared" ca="1" si="143"/>
        <v>39.160154985026622</v>
      </c>
      <c r="AH266" s="304">
        <f t="shared" ca="1" si="144"/>
        <v>48.857776390496319</v>
      </c>
    </row>
    <row r="267" spans="1:34" x14ac:dyDescent="0.2">
      <c r="A267" s="347">
        <f t="shared" ca="1" si="122"/>
        <v>0.01</v>
      </c>
      <c r="B267" s="304">
        <f t="shared" ca="1" si="123"/>
        <v>6.6299999999999439</v>
      </c>
      <c r="D267" s="306">
        <f t="shared" ca="1" si="124"/>
        <v>7.3152714003279184</v>
      </c>
      <c r="E267" s="307">
        <f t="shared" ca="1" si="125"/>
        <v>38.088666896544915</v>
      </c>
      <c r="F267" s="304">
        <f t="shared" ca="1" si="126"/>
        <v>38.784787502530058</v>
      </c>
      <c r="G267" s="306">
        <f t="shared" ca="1" si="127"/>
        <v>50.786335015847392</v>
      </c>
      <c r="H267" s="307">
        <f t="shared" ca="1" si="128"/>
        <v>332.43880952756263</v>
      </c>
      <c r="I267" s="304">
        <f t="shared" ca="1" si="129"/>
        <v>336.29572388664855</v>
      </c>
      <c r="J267" s="306">
        <f t="shared" ca="1" si="130"/>
        <v>138.13651477818999</v>
      </c>
      <c r="K267" s="307">
        <f t="shared" ca="1" si="131"/>
        <v>1003.65569409574</v>
      </c>
      <c r="L267" s="304">
        <f t="shared" ca="1" si="116"/>
        <v>1013.1171941122443</v>
      </c>
      <c r="M267" s="306">
        <f t="shared" ca="1" si="132"/>
        <v>1.4191994447931671</v>
      </c>
      <c r="N267" s="304">
        <f t="shared" ca="1" si="133"/>
        <v>81.314138473958153</v>
      </c>
      <c r="P267" s="310">
        <f t="shared" ca="1" si="134"/>
        <v>7</v>
      </c>
      <c r="Q267" s="304">
        <f t="shared" ca="1" si="135"/>
        <v>487.46808510639443</v>
      </c>
      <c r="R267" s="306">
        <f t="shared" ca="1" si="136"/>
        <v>0.2446375199380604</v>
      </c>
      <c r="S267" s="307">
        <f t="shared" ca="1" si="137"/>
        <v>5.7879299853974473</v>
      </c>
      <c r="T267" s="304">
        <f t="shared" ca="1" si="117"/>
        <v>56.779593156748959</v>
      </c>
      <c r="U267" s="311">
        <f t="shared" ca="1" si="118"/>
        <v>0</v>
      </c>
      <c r="V267" s="306">
        <f t="shared" ca="1" si="119"/>
        <v>1.1079272157976865</v>
      </c>
      <c r="W267" s="304">
        <f t="shared" ca="1" si="120"/>
        <v>207.4282889914175</v>
      </c>
      <c r="Y267" s="314" t="str">
        <f t="shared" ca="1" si="138"/>
        <v/>
      </c>
      <c r="Z267" s="315" t="str">
        <f t="shared" ca="1" si="139"/>
        <v/>
      </c>
      <c r="AA267" s="316" t="str">
        <f t="shared" ca="1" si="140"/>
        <v/>
      </c>
      <c r="AC267" s="310" t="e">
        <f t="shared" ca="1" si="141"/>
        <v>#N/A</v>
      </c>
      <c r="AD267" s="323" t="e">
        <f t="shared" ca="1" si="142"/>
        <v>#N/A</v>
      </c>
      <c r="AE267" s="324">
        <f t="shared" ca="1" si="121"/>
        <v>1003.65569409574</v>
      </c>
      <c r="AG267" s="306">
        <f t="shared" ca="1" si="143"/>
        <v>38.756499281657135</v>
      </c>
      <c r="AH267" s="304">
        <f t="shared" ca="1" si="144"/>
        <v>48.454055414656715</v>
      </c>
    </row>
    <row r="268" spans="1:34" x14ac:dyDescent="0.2">
      <c r="A268" s="347">
        <f t="shared" ca="1" si="122"/>
        <v>0.01</v>
      </c>
      <c r="B268" s="304">
        <f t="shared" ca="1" si="123"/>
        <v>6.6399999999999437</v>
      </c>
      <c r="D268" s="306">
        <f t="shared" ca="1" si="124"/>
        <v>7.2564729342287189</v>
      </c>
      <c r="E268" s="307">
        <f t="shared" ca="1" si="125"/>
        <v>37.689651685265872</v>
      </c>
      <c r="F268" s="304">
        <f t="shared" ca="1" si="126"/>
        <v>38.381847839856</v>
      </c>
      <c r="G268" s="306">
        <f t="shared" ca="1" si="127"/>
        <v>50.858899745189682</v>
      </c>
      <c r="H268" s="307">
        <f t="shared" ca="1" si="128"/>
        <v>332.81570604441526</v>
      </c>
      <c r="I268" s="304">
        <f t="shared" ca="1" si="129"/>
        <v>336.67925667188632</v>
      </c>
      <c r="J268" s="306">
        <f t="shared" ca="1" si="130"/>
        <v>138.64474095199517</v>
      </c>
      <c r="K268" s="307">
        <f t="shared" ca="1" si="131"/>
        <v>1006.9819666735999</v>
      </c>
      <c r="L268" s="304">
        <f t="shared" ca="1" si="116"/>
        <v>1016.4816994906878</v>
      </c>
      <c r="M268" s="306">
        <f t="shared" ca="1" si="132"/>
        <v>1.4191554422096493</v>
      </c>
      <c r="N268" s="304">
        <f t="shared" ca="1" si="133"/>
        <v>81.311617311634905</v>
      </c>
      <c r="P268" s="310">
        <f t="shared" ca="1" si="134"/>
        <v>7</v>
      </c>
      <c r="Q268" s="304">
        <f t="shared" ca="1" si="135"/>
        <v>485.42553191490509</v>
      </c>
      <c r="R268" s="306">
        <f t="shared" ca="1" si="136"/>
        <v>0.24361245765731959</v>
      </c>
      <c r="S268" s="307">
        <f t="shared" ca="1" si="137"/>
        <v>5.7854938608208739</v>
      </c>
      <c r="T268" s="304">
        <f t="shared" ca="1" si="117"/>
        <v>56.755694774652774</v>
      </c>
      <c r="U268" s="311">
        <f t="shared" ca="1" si="118"/>
        <v>0</v>
      </c>
      <c r="V268" s="306">
        <f t="shared" ca="1" si="119"/>
        <v>1.1075578170979419</v>
      </c>
      <c r="W268" s="304">
        <f t="shared" ca="1" si="120"/>
        <v>207.83236992523842</v>
      </c>
      <c r="Y268" s="314" t="str">
        <f t="shared" ca="1" si="138"/>
        <v/>
      </c>
      <c r="Z268" s="315" t="str">
        <f t="shared" ca="1" si="139"/>
        <v/>
      </c>
      <c r="AA268" s="316" t="str">
        <f t="shared" ca="1" si="140"/>
        <v/>
      </c>
      <c r="AC268" s="310" t="e">
        <f t="shared" ca="1" si="141"/>
        <v>#N/A</v>
      </c>
      <c r="AD268" s="323" t="e">
        <f t="shared" ca="1" si="142"/>
        <v>#N/A</v>
      </c>
      <c r="AE268" s="324">
        <f t="shared" ca="1" si="121"/>
        <v>1006.9819666735999</v>
      </c>
      <c r="AG268" s="306">
        <f t="shared" ca="1" si="143"/>
        <v>38.353245929397687</v>
      </c>
      <c r="AH268" s="304">
        <f t="shared" ca="1" si="144"/>
        <v>48.050736827511557</v>
      </c>
    </row>
    <row r="269" spans="1:34" x14ac:dyDescent="0.2">
      <c r="A269" s="347">
        <f t="shared" ca="1" si="122"/>
        <v>0.01</v>
      </c>
      <c r="B269" s="304">
        <f t="shared" ca="1" si="123"/>
        <v>6.6499999999999435</v>
      </c>
      <c r="D269" s="306">
        <f t="shared" ca="1" si="124"/>
        <v>7.197698948882878</v>
      </c>
      <c r="E269" s="307">
        <f t="shared" ca="1" si="125"/>
        <v>37.291043663339799</v>
      </c>
      <c r="F269" s="304">
        <f t="shared" ca="1" si="126"/>
        <v>37.979320789870179</v>
      </c>
      <c r="G269" s="306">
        <f t="shared" ca="1" si="127"/>
        <v>50.930876734678513</v>
      </c>
      <c r="H269" s="307">
        <f t="shared" ca="1" si="128"/>
        <v>333.18861648104865</v>
      </c>
      <c r="I269" s="304">
        <f t="shared" ca="1" si="129"/>
        <v>337.05876098614965</v>
      </c>
      <c r="J269" s="306">
        <f t="shared" ca="1" si="130"/>
        <v>139.15368983439453</v>
      </c>
      <c r="K269" s="307">
        <f t="shared" ca="1" si="131"/>
        <v>1010.3119882862272</v>
      </c>
      <c r="L269" s="304">
        <f t="shared" ca="1" si="116"/>
        <v>1019.8500198898839</v>
      </c>
      <c r="M269" s="306">
        <f t="shared" ca="1" si="132"/>
        <v>1.4191114765100208</v>
      </c>
      <c r="N269" s="304">
        <f t="shared" ca="1" si="133"/>
        <v>81.309098262602859</v>
      </c>
      <c r="P269" s="310">
        <f t="shared" ca="1" si="134"/>
        <v>7</v>
      </c>
      <c r="Q269" s="304">
        <f t="shared" ca="1" si="135"/>
        <v>483.38297872341576</v>
      </c>
      <c r="R269" s="306">
        <f t="shared" ca="1" si="136"/>
        <v>0.24258739537657875</v>
      </c>
      <c r="S269" s="307">
        <f t="shared" ca="1" si="137"/>
        <v>5.783067986867108</v>
      </c>
      <c r="T269" s="304">
        <f t="shared" ca="1" si="117"/>
        <v>56.731896951166334</v>
      </c>
      <c r="U269" s="311">
        <f t="shared" ca="1" si="118"/>
        <v>0</v>
      </c>
      <c r="V269" s="306">
        <f t="shared" ca="1" si="119"/>
        <v>1.1071881192111153</v>
      </c>
      <c r="W269" s="304">
        <f t="shared" ca="1" si="120"/>
        <v>208.23164060857201</v>
      </c>
      <c r="Y269" s="314" t="str">
        <f t="shared" ca="1" si="138"/>
        <v/>
      </c>
      <c r="Z269" s="315" t="str">
        <f t="shared" ca="1" si="139"/>
        <v/>
      </c>
      <c r="AA269" s="316" t="str">
        <f t="shared" ca="1" si="140"/>
        <v/>
      </c>
      <c r="AC269" s="310" t="e">
        <f t="shared" ca="1" si="141"/>
        <v>#N/A</v>
      </c>
      <c r="AD269" s="323" t="e">
        <f t="shared" ca="1" si="142"/>
        <v>#N/A</v>
      </c>
      <c r="AE269" s="324">
        <f t="shared" ca="1" si="121"/>
        <v>1010.3119882862272</v>
      </c>
      <c r="AG269" s="306">
        <f t="shared" ca="1" si="143"/>
        <v>37.95039884989675</v>
      </c>
      <c r="AH269" s="304">
        <f t="shared" ca="1" si="144"/>
        <v>47.647824549863685</v>
      </c>
    </row>
    <row r="270" spans="1:34" x14ac:dyDescent="0.2">
      <c r="A270" s="347">
        <f t="shared" ca="1" si="122"/>
        <v>0.01</v>
      </c>
      <c r="B270" s="304">
        <f t="shared" ca="1" si="123"/>
        <v>6.6599999999999433</v>
      </c>
      <c r="D270" s="306">
        <f t="shared" ca="1" si="124"/>
        <v>7.1389501559747925</v>
      </c>
      <c r="E270" s="307">
        <f t="shared" ca="1" si="125"/>
        <v>36.892846644240485</v>
      </c>
      <c r="F270" s="304">
        <f t="shared" ca="1" si="126"/>
        <v>37.577210418615948</v>
      </c>
      <c r="G270" s="306">
        <f t="shared" ca="1" si="127"/>
        <v>51.002266236238263</v>
      </c>
      <c r="H270" s="307">
        <f t="shared" ca="1" si="128"/>
        <v>333.55754494749107</v>
      </c>
      <c r="I270" s="304">
        <f t="shared" ca="1" si="129"/>
        <v>337.43424093092517</v>
      </c>
      <c r="J270" s="306">
        <f t="shared" ca="1" si="130"/>
        <v>139.6633555492491</v>
      </c>
      <c r="K270" s="307">
        <f t="shared" ca="1" si="131"/>
        <v>1013.64571909337</v>
      </c>
      <c r="L270" s="304">
        <f t="shared" ca="1" si="116"/>
        <v>1023.2221150461863</v>
      </c>
      <c r="M270" s="306">
        <f t="shared" ca="1" si="132"/>
        <v>1.4190675470980902</v>
      </c>
      <c r="N270" s="304">
        <f t="shared" ca="1" si="133"/>
        <v>81.306581292702745</v>
      </c>
      <c r="P270" s="310">
        <f t="shared" ca="1" si="134"/>
        <v>7</v>
      </c>
      <c r="Q270" s="304">
        <f t="shared" ca="1" si="135"/>
        <v>481.34042553192648</v>
      </c>
      <c r="R270" s="306">
        <f t="shared" ca="1" si="136"/>
        <v>0.24156233309583797</v>
      </c>
      <c r="S270" s="307">
        <f t="shared" ca="1" si="137"/>
        <v>5.7806523635361495</v>
      </c>
      <c r="T270" s="304">
        <f t="shared" ca="1" si="117"/>
        <v>56.708199686289632</v>
      </c>
      <c r="U270" s="311">
        <f t="shared" ca="1" si="118"/>
        <v>0</v>
      </c>
      <c r="V270" s="306">
        <f t="shared" ca="1" si="119"/>
        <v>1.1068181268982631</v>
      </c>
      <c r="W270" s="304">
        <f t="shared" ca="1" si="120"/>
        <v>208.62609426921219</v>
      </c>
      <c r="Y270" s="314" t="str">
        <f t="shared" ca="1" si="138"/>
        <v/>
      </c>
      <c r="Z270" s="315" t="str">
        <f t="shared" ca="1" si="139"/>
        <v/>
      </c>
      <c r="AA270" s="316" t="str">
        <f t="shared" ca="1" si="140"/>
        <v/>
      </c>
      <c r="AC270" s="310" t="e">
        <f t="shared" ca="1" si="141"/>
        <v>#N/A</v>
      </c>
      <c r="AD270" s="323" t="e">
        <f t="shared" ca="1" si="142"/>
        <v>#N/A</v>
      </c>
      <c r="AE270" s="324">
        <f t="shared" ca="1" si="121"/>
        <v>1013.64571909337</v>
      </c>
      <c r="AG270" s="306">
        <f t="shared" ca="1" si="143"/>
        <v>37.5479619186371</v>
      </c>
      <c r="AH270" s="304">
        <f t="shared" ca="1" si="144"/>
        <v>47.245322456354735</v>
      </c>
    </row>
    <row r="271" spans="1:34" x14ac:dyDescent="0.2">
      <c r="A271" s="347">
        <f t="shared" ca="1" si="122"/>
        <v>0.01</v>
      </c>
      <c r="B271" s="304">
        <f t="shared" ca="1" si="123"/>
        <v>6.6699999999999431</v>
      </c>
      <c r="D271" s="306">
        <f t="shared" ca="1" si="124"/>
        <v>7.0802272596806146</v>
      </c>
      <c r="E271" s="307">
        <f t="shared" ca="1" si="125"/>
        <v>36.495064395968996</v>
      </c>
      <c r="F271" s="304">
        <f t="shared" ca="1" si="126"/>
        <v>37.175520753778933</v>
      </c>
      <c r="G271" s="306">
        <f t="shared" ca="1" si="127"/>
        <v>51.073068508835071</v>
      </c>
      <c r="H271" s="307">
        <f t="shared" ca="1" si="128"/>
        <v>333.92249559145074</v>
      </c>
      <c r="I271" s="304">
        <f t="shared" ca="1" si="129"/>
        <v>337.80570064599357</v>
      </c>
      <c r="J271" s="306">
        <f t="shared" ca="1" si="130"/>
        <v>140.17373222297448</v>
      </c>
      <c r="K271" s="307">
        <f t="shared" ca="1" si="131"/>
        <v>1016.9831192960646</v>
      </c>
      <c r="L271" s="304">
        <f t="shared" ca="1" si="116"/>
        <v>1026.5979447371164</v>
      </c>
      <c r="M271" s="306">
        <f t="shared" ca="1" si="132"/>
        <v>1.4190236533813172</v>
      </c>
      <c r="N271" s="304">
        <f t="shared" ca="1" si="133"/>
        <v>81.304066367984504</v>
      </c>
      <c r="P271" s="310">
        <f t="shared" ca="1" si="134"/>
        <v>7</v>
      </c>
      <c r="Q271" s="304">
        <f t="shared" ca="1" si="135"/>
        <v>479.29787234043715</v>
      </c>
      <c r="R271" s="306">
        <f t="shared" ca="1" si="136"/>
        <v>0.24053727081509715</v>
      </c>
      <c r="S271" s="307">
        <f t="shared" ca="1" si="137"/>
        <v>5.7782469908279985</v>
      </c>
      <c r="T271" s="304">
        <f t="shared" ca="1" si="117"/>
        <v>56.684602980022667</v>
      </c>
      <c r="U271" s="311">
        <f t="shared" ca="1" si="118"/>
        <v>0</v>
      </c>
      <c r="V271" s="306">
        <f t="shared" ca="1" si="119"/>
        <v>1.1064478449103496</v>
      </c>
      <c r="W271" s="304">
        <f t="shared" ca="1" si="120"/>
        <v>209.01572441191956</v>
      </c>
      <c r="Y271" s="314" t="str">
        <f t="shared" ca="1" si="138"/>
        <v/>
      </c>
      <c r="Z271" s="315" t="str">
        <f t="shared" ca="1" si="139"/>
        <v/>
      </c>
      <c r="AA271" s="316" t="str">
        <f t="shared" ca="1" si="140"/>
        <v/>
      </c>
      <c r="AC271" s="310" t="e">
        <f t="shared" ca="1" si="141"/>
        <v>#N/A</v>
      </c>
      <c r="AD271" s="323" t="e">
        <f t="shared" ca="1" si="142"/>
        <v>#N/A</v>
      </c>
      <c r="AE271" s="324">
        <f t="shared" ca="1" si="121"/>
        <v>1016.9831192960646</v>
      </c>
      <c r="AG271" s="306">
        <f t="shared" ca="1" si="143"/>
        <v>37.145938965029821</v>
      </c>
      <c r="AH271" s="304">
        <f t="shared" ca="1" si="144"/>
        <v>46.843234375559085</v>
      </c>
    </row>
    <row r="272" spans="1:34" x14ac:dyDescent="0.2">
      <c r="A272" s="347">
        <f t="shared" ca="1" si="122"/>
        <v>0.01</v>
      </c>
      <c r="B272" s="304">
        <f t="shared" ca="1" si="123"/>
        <v>6.6799999999999429</v>
      </c>
      <c r="D272" s="306">
        <f t="shared" ca="1" si="124"/>
        <v>7.0215309566840221</v>
      </c>
      <c r="E272" s="307">
        <f t="shared" ca="1" si="125"/>
        <v>36.097700641150205</v>
      </c>
      <c r="F272" s="304">
        <f t="shared" ca="1" si="126"/>
        <v>36.774255785178958</v>
      </c>
      <c r="G272" s="306">
        <f t="shared" ca="1" si="127"/>
        <v>51.143283818401912</v>
      </c>
      <c r="H272" s="307">
        <f t="shared" ca="1" si="128"/>
        <v>334.28347259786221</v>
      </c>
      <c r="I272" s="304">
        <f t="shared" ca="1" si="129"/>
        <v>338.17314430896977</v>
      </c>
      <c r="J272" s="306">
        <f t="shared" ca="1" si="130"/>
        <v>140.68481398461066</v>
      </c>
      <c r="K272" s="307">
        <f t="shared" ca="1" si="131"/>
        <v>1020.3241491370112</v>
      </c>
      <c r="L272" s="304">
        <f t="shared" ca="1" si="116"/>
        <v>1029.9774687817448</v>
      </c>
      <c r="M272" s="306">
        <f t="shared" ca="1" si="132"/>
        <v>1.4189797947707585</v>
      </c>
      <c r="N272" s="304">
        <f t="shared" ca="1" si="133"/>
        <v>81.301553454704191</v>
      </c>
      <c r="P272" s="310">
        <f t="shared" ca="1" si="134"/>
        <v>7</v>
      </c>
      <c r="Q272" s="304">
        <f t="shared" ca="1" si="135"/>
        <v>477.25531914894782</v>
      </c>
      <c r="R272" s="306">
        <f t="shared" ca="1" si="136"/>
        <v>0.23951220853435634</v>
      </c>
      <c r="S272" s="307">
        <f t="shared" ca="1" si="137"/>
        <v>5.775851868742655</v>
      </c>
      <c r="T272" s="304">
        <f t="shared" ca="1" si="117"/>
        <v>56.661106832365448</v>
      </c>
      <c r="U272" s="311">
        <f t="shared" ca="1" si="118"/>
        <v>0</v>
      </c>
      <c r="V272" s="306">
        <f t="shared" ca="1" si="119"/>
        <v>1.1060772779882035</v>
      </c>
      <c r="W272" s="304">
        <f t="shared" ca="1" si="120"/>
        <v>209.40052481690051</v>
      </c>
      <c r="Y272" s="314" t="str">
        <f t="shared" ca="1" si="138"/>
        <v/>
      </c>
      <c r="Z272" s="315" t="str">
        <f t="shared" ca="1" si="139"/>
        <v/>
      </c>
      <c r="AA272" s="316" t="str">
        <f t="shared" ca="1" si="140"/>
        <v/>
      </c>
      <c r="AC272" s="310" t="e">
        <f t="shared" ca="1" si="141"/>
        <v>#N/A</v>
      </c>
      <c r="AD272" s="323" t="e">
        <f t="shared" ca="1" si="142"/>
        <v>#N/A</v>
      </c>
      <c r="AE272" s="324">
        <f t="shared" ca="1" si="121"/>
        <v>1020.3241491370112</v>
      </c>
      <c r="AG272" s="306">
        <f t="shared" ca="1" si="143"/>
        <v>36.744333772511879</v>
      </c>
      <c r="AH272" s="304">
        <f t="shared" ca="1" si="144"/>
        <v>46.441564090081371</v>
      </c>
    </row>
    <row r="273" spans="1:34" x14ac:dyDescent="0.2">
      <c r="A273" s="347">
        <f t="shared" ca="1" si="122"/>
        <v>0.01</v>
      </c>
      <c r="B273" s="304">
        <f t="shared" ca="1" si="123"/>
        <v>6.6899999999999427</v>
      </c>
      <c r="D273" s="306">
        <f t="shared" ca="1" si="124"/>
        <v>6.962861936192219</v>
      </c>
      <c r="E273" s="307">
        <f t="shared" ca="1" si="125"/>
        <v>35.700759057132011</v>
      </c>
      <c r="F273" s="304">
        <f t="shared" ca="1" si="126"/>
        <v>36.373419465289047</v>
      </c>
      <c r="G273" s="306">
        <f t="shared" ca="1" si="127"/>
        <v>51.212912437763833</v>
      </c>
      <c r="H273" s="307">
        <f t="shared" ca="1" si="128"/>
        <v>334.64048018843351</v>
      </c>
      <c r="I273" s="304">
        <f t="shared" ca="1" si="129"/>
        <v>338.53657613484461</v>
      </c>
      <c r="J273" s="306">
        <f t="shared" ca="1" si="130"/>
        <v>141.19659496589148</v>
      </c>
      <c r="K273" s="307">
        <f t="shared" ca="1" si="131"/>
        <v>1023.6687689009427</v>
      </c>
      <c r="L273" s="304">
        <f t="shared" ca="1" si="116"/>
        <v>1033.3606470410675</v>
      </c>
      <c r="M273" s="306">
        <f t="shared" ca="1" si="132"/>
        <v>1.4189359706810156</v>
      </c>
      <c r="N273" s="304">
        <f t="shared" ca="1" si="133"/>
        <v>81.299042519320921</v>
      </c>
      <c r="P273" s="310">
        <f t="shared" ca="1" si="134"/>
        <v>7</v>
      </c>
      <c r="Q273" s="304">
        <f t="shared" ca="1" si="135"/>
        <v>475.21276595745849</v>
      </c>
      <c r="R273" s="306">
        <f t="shared" ca="1" si="136"/>
        <v>0.23848714625361553</v>
      </c>
      <c r="S273" s="307">
        <f t="shared" ca="1" si="137"/>
        <v>5.7734669972801189</v>
      </c>
      <c r="T273" s="304">
        <f t="shared" ca="1" si="117"/>
        <v>56.637711243317966</v>
      </c>
      <c r="U273" s="311">
        <f t="shared" ca="1" si="118"/>
        <v>0</v>
      </c>
      <c r="V273" s="306">
        <f t="shared" ca="1" si="119"/>
        <v>1.1057064308624751</v>
      </c>
      <c r="W273" s="304">
        <f t="shared" ca="1" si="120"/>
        <v>209.78048953827704</v>
      </c>
      <c r="Y273" s="314" t="str">
        <f t="shared" ca="1" si="138"/>
        <v/>
      </c>
      <c r="Z273" s="315" t="str">
        <f t="shared" ca="1" si="139"/>
        <v/>
      </c>
      <c r="AA273" s="316" t="str">
        <f t="shared" ca="1" si="140"/>
        <v/>
      </c>
      <c r="AC273" s="310" t="e">
        <f t="shared" ca="1" si="141"/>
        <v>#N/A</v>
      </c>
      <c r="AD273" s="323" t="e">
        <f t="shared" ca="1" si="142"/>
        <v>#N/A</v>
      </c>
      <c r="AE273" s="324">
        <f t="shared" ca="1" si="121"/>
        <v>1023.6687689009427</v>
      </c>
      <c r="AG273" s="306">
        <f t="shared" ca="1" si="143"/>
        <v>36.34315007864658</v>
      </c>
      <c r="AH273" s="304">
        <f t="shared" ca="1" si="144"/>
        <v>46.040315336656832</v>
      </c>
    </row>
    <row r="274" spans="1:34" x14ac:dyDescent="0.2">
      <c r="A274" s="347">
        <f t="shared" ca="1" si="122"/>
        <v>0.01</v>
      </c>
      <c r="B274" s="304">
        <f t="shared" ca="1" si="123"/>
        <v>6.6999999999999424</v>
      </c>
      <c r="D274" s="306">
        <f t="shared" ca="1" si="124"/>
        <v>6.9042208799523745</v>
      </c>
      <c r="E274" s="307">
        <f t="shared" ca="1" si="125"/>
        <v>35.304243276088002</v>
      </c>
      <c r="F274" s="304">
        <f t="shared" ca="1" si="126"/>
        <v>35.973015709784121</v>
      </c>
      <c r="G274" s="306">
        <f t="shared" ca="1" si="127"/>
        <v>51.281954646563356</v>
      </c>
      <c r="H274" s="307">
        <f t="shared" ca="1" si="128"/>
        <v>334.99352262119442</v>
      </c>
      <c r="I274" s="304">
        <f t="shared" ca="1" si="129"/>
        <v>338.89600037552651</v>
      </c>
      <c r="J274" s="306">
        <f t="shared" ca="1" si="130"/>
        <v>141.70906930131312</v>
      </c>
      <c r="K274" s="307">
        <f t="shared" ca="1" si="131"/>
        <v>1027.0169389149908</v>
      </c>
      <c r="L274" s="304">
        <f t="shared" ca="1" si="116"/>
        <v>1036.7474394183776</v>
      </c>
      <c r="M274" s="306">
        <f t="shared" ca="1" si="132"/>
        <v>1.4188921805301804</v>
      </c>
      <c r="N274" s="304">
        <f t="shared" ca="1" si="133"/>
        <v>81.296533528493811</v>
      </c>
      <c r="P274" s="310">
        <f t="shared" ca="1" si="134"/>
        <v>7</v>
      </c>
      <c r="Q274" s="304">
        <f t="shared" ca="1" si="135"/>
        <v>473.17021276596921</v>
      </c>
      <c r="R274" s="306">
        <f t="shared" ca="1" si="136"/>
        <v>0.23746208397287472</v>
      </c>
      <c r="S274" s="307">
        <f t="shared" ca="1" si="137"/>
        <v>5.7710923764403903</v>
      </c>
      <c r="T274" s="304">
        <f t="shared" ca="1" si="117"/>
        <v>56.614416212880229</v>
      </c>
      <c r="U274" s="311">
        <f t="shared" ca="1" si="118"/>
        <v>0</v>
      </c>
      <c r="V274" s="306">
        <f t="shared" ca="1" si="119"/>
        <v>1.1053353082535935</v>
      </c>
      <c r="W274" s="304">
        <f t="shared" ca="1" si="120"/>
        <v>210.15561290254578</v>
      </c>
      <c r="Y274" s="314" t="str">
        <f t="shared" ca="1" si="138"/>
        <v/>
      </c>
      <c r="Z274" s="315" t="str">
        <f t="shared" ca="1" si="139"/>
        <v/>
      </c>
      <c r="AA274" s="316" t="str">
        <f t="shared" ca="1" si="140"/>
        <v/>
      </c>
      <c r="AC274" s="310" t="e">
        <f t="shared" ca="1" si="141"/>
        <v>#N/A</v>
      </c>
      <c r="AD274" s="323" t="e">
        <f t="shared" ca="1" si="142"/>
        <v>#N/A</v>
      </c>
      <c r="AE274" s="324">
        <f t="shared" ca="1" si="121"/>
        <v>1027.0169389149908</v>
      </c>
      <c r="AG274" s="306">
        <f t="shared" ca="1" si="143"/>
        <v>35.94239157522734</v>
      </c>
      <c r="AH274" s="304">
        <f t="shared" ca="1" si="144"/>
        <v>45.639491806255052</v>
      </c>
    </row>
    <row r="275" spans="1:34" x14ac:dyDescent="0.2">
      <c r="A275" s="347">
        <f t="shared" ca="1" si="122"/>
        <v>0.01</v>
      </c>
      <c r="B275" s="304">
        <f t="shared" ca="1" si="123"/>
        <v>6.7099999999999422</v>
      </c>
      <c r="D275" s="306">
        <f t="shared" ca="1" si="124"/>
        <v>6.8456084622685083</v>
      </c>
      <c r="E275" s="307">
        <f t="shared" ca="1" si="125"/>
        <v>34.908156885123084</v>
      </c>
      <c r="F275" s="304">
        <f t="shared" ca="1" si="126"/>
        <v>35.573048398120854</v>
      </c>
      <c r="G275" s="306">
        <f t="shared" ca="1" si="127"/>
        <v>51.350410731186038</v>
      </c>
      <c r="H275" s="307">
        <f t="shared" ca="1" si="128"/>
        <v>335.34260419004562</v>
      </c>
      <c r="I275" s="304">
        <f t="shared" ca="1" si="129"/>
        <v>339.25142131938537</v>
      </c>
      <c r="J275" s="306">
        <f t="shared" ca="1" si="130"/>
        <v>142.22223112820186</v>
      </c>
      <c r="K275" s="307">
        <f t="shared" ca="1" si="131"/>
        <v>1030.368619549047</v>
      </c>
      <c r="L275" s="304">
        <f t="shared" ca="1" si="116"/>
        <v>1040.1378058596335</v>
      </c>
      <c r="M275" s="306">
        <f t="shared" ca="1" si="132"/>
        <v>1.4188484237397834</v>
      </c>
      <c r="N275" s="304">
        <f t="shared" ca="1" si="133"/>
        <v>81.294026449079027</v>
      </c>
      <c r="P275" s="310">
        <f t="shared" ca="1" si="134"/>
        <v>7</v>
      </c>
      <c r="Q275" s="304">
        <f t="shared" ca="1" si="135"/>
        <v>471.12765957447988</v>
      </c>
      <c r="R275" s="306">
        <f t="shared" ca="1" si="136"/>
        <v>0.2364370216921339</v>
      </c>
      <c r="S275" s="307">
        <f t="shared" ca="1" si="137"/>
        <v>5.7687280062234692</v>
      </c>
      <c r="T275" s="304">
        <f t="shared" ca="1" si="117"/>
        <v>56.591221741052237</v>
      </c>
      <c r="U275" s="311">
        <f t="shared" ca="1" si="118"/>
        <v>0</v>
      </c>
      <c r="V275" s="306">
        <f t="shared" ca="1" si="119"/>
        <v>1.1049639148717263</v>
      </c>
      <c r="W275" s="304">
        <f t="shared" ca="1" si="120"/>
        <v>210.5258895070298</v>
      </c>
      <c r="Y275" s="314" t="str">
        <f t="shared" ca="1" si="138"/>
        <v/>
      </c>
      <c r="Z275" s="315" t="str">
        <f t="shared" ca="1" si="139"/>
        <v/>
      </c>
      <c r="AA275" s="316" t="str">
        <f t="shared" ca="1" si="140"/>
        <v/>
      </c>
      <c r="AC275" s="310" t="e">
        <f t="shared" ca="1" si="141"/>
        <v>#N/A</v>
      </c>
      <c r="AD275" s="323" t="e">
        <f t="shared" ca="1" si="142"/>
        <v>#N/A</v>
      </c>
      <c r="AE275" s="324">
        <f t="shared" ca="1" si="121"/>
        <v>1030.368619549047</v>
      </c>
      <c r="AG275" s="306">
        <f t="shared" ca="1" si="143"/>
        <v>35.542061908384518</v>
      </c>
      <c r="AH275" s="304">
        <f t="shared" ca="1" si="144"/>
        <v>45.239097144186722</v>
      </c>
    </row>
    <row r="276" spans="1:34" x14ac:dyDescent="0.2">
      <c r="A276" s="347">
        <f t="shared" ca="1" si="122"/>
        <v>0.01</v>
      </c>
      <c r="B276" s="304">
        <f t="shared" ca="1" si="123"/>
        <v>6.719999999999942</v>
      </c>
      <c r="D276" s="306">
        <f t="shared" ca="1" si="124"/>
        <v>6.7870253500186974</v>
      </c>
      <c r="E276" s="307">
        <f t="shared" ca="1" si="125"/>
        <v>34.512503426382175</v>
      </c>
      <c r="F276" s="304">
        <f t="shared" ca="1" si="126"/>
        <v>35.173521374150724</v>
      </c>
      <c r="G276" s="306">
        <f t="shared" ca="1" si="127"/>
        <v>51.418280984686227</v>
      </c>
      <c r="H276" s="307">
        <f t="shared" ca="1" si="128"/>
        <v>335.68772922430946</v>
      </c>
      <c r="I276" s="304">
        <f t="shared" ca="1" si="129"/>
        <v>339.60284329079678</v>
      </c>
      <c r="J276" s="306">
        <f t="shared" ca="1" si="130"/>
        <v>142.73607458678123</v>
      </c>
      <c r="K276" s="307">
        <f t="shared" ca="1" si="131"/>
        <v>1033.7237712161188</v>
      </c>
      <c r="L276" s="304">
        <f t="shared" ca="1" si="116"/>
        <v>1043.5317063538214</v>
      </c>
      <c r="M276" s="306">
        <f t="shared" ca="1" si="132"/>
        <v>1.4188046997347432</v>
      </c>
      <c r="N276" s="304">
        <f t="shared" ca="1" si="133"/>
        <v>81.291521248126813</v>
      </c>
      <c r="P276" s="310">
        <f t="shared" ca="1" si="134"/>
        <v>7</v>
      </c>
      <c r="Q276" s="304">
        <f t="shared" ca="1" si="135"/>
        <v>469.08510638299055</v>
      </c>
      <c r="R276" s="306">
        <f t="shared" ca="1" si="136"/>
        <v>0.23541195941139309</v>
      </c>
      <c r="S276" s="307">
        <f t="shared" ca="1" si="137"/>
        <v>5.7663738866293555</v>
      </c>
      <c r="T276" s="304">
        <f t="shared" ca="1" si="117"/>
        <v>56.568127827833983</v>
      </c>
      <c r="U276" s="311">
        <f t="shared" ca="1" si="118"/>
        <v>0</v>
      </c>
      <c r="V276" s="306">
        <f t="shared" ca="1" si="119"/>
        <v>1.1045922554167376</v>
      </c>
      <c r="W276" s="304">
        <f t="shared" ca="1" si="120"/>
        <v>210.89131421831985</v>
      </c>
      <c r="Y276" s="314" t="str">
        <f t="shared" ca="1" si="138"/>
        <v/>
      </c>
      <c r="Z276" s="315" t="str">
        <f t="shared" ca="1" si="139"/>
        <v/>
      </c>
      <c r="AA276" s="316" t="str">
        <f t="shared" ca="1" si="140"/>
        <v/>
      </c>
      <c r="AC276" s="310" t="e">
        <f t="shared" ca="1" si="141"/>
        <v>#N/A</v>
      </c>
      <c r="AD276" s="323" t="e">
        <f t="shared" ca="1" si="142"/>
        <v>#N/A</v>
      </c>
      <c r="AE276" s="324">
        <f t="shared" ca="1" si="121"/>
        <v>1033.7237712161188</v>
      </c>
      <c r="AG276" s="306">
        <f t="shared" ca="1" si="143"/>
        <v>35.142164678695366</v>
      </c>
      <c r="AH276" s="304">
        <f t="shared" ca="1" si="144"/>
        <v>44.839134950213484</v>
      </c>
    </row>
    <row r="277" spans="1:34" x14ac:dyDescent="0.2">
      <c r="A277" s="347">
        <f t="shared" ca="1" si="122"/>
        <v>0.01</v>
      </c>
      <c r="B277" s="304">
        <f t="shared" ca="1" si="123"/>
        <v>6.7299999999999418</v>
      </c>
      <c r="D277" s="306">
        <f t="shared" ca="1" si="124"/>
        <v>6.7284722026726262</v>
      </c>
      <c r="E277" s="307">
        <f t="shared" ca="1" si="125"/>
        <v>34.117286397161998</v>
      </c>
      <c r="F277" s="304">
        <f t="shared" ca="1" si="126"/>
        <v>34.774438446768812</v>
      </c>
      <c r="G277" s="306">
        <f t="shared" ca="1" si="127"/>
        <v>51.485565706712954</v>
      </c>
      <c r="H277" s="307">
        <f t="shared" ca="1" si="128"/>
        <v>336.02890208828109</v>
      </c>
      <c r="I277" s="304">
        <f t="shared" ca="1" si="129"/>
        <v>339.95027064968764</v>
      </c>
      <c r="J277" s="306">
        <f t="shared" ca="1" si="130"/>
        <v>143.25059382023824</v>
      </c>
      <c r="K277" s="307">
        <f t="shared" ca="1" si="131"/>
        <v>1037.0823543726817</v>
      </c>
      <c r="L277" s="304">
        <f t="shared" ca="1" si="116"/>
        <v>1046.9291009333133</v>
      </c>
      <c r="M277" s="306">
        <f t="shared" ca="1" si="132"/>
        <v>1.4187610079433148</v>
      </c>
      <c r="N277" s="304">
        <f t="shared" ca="1" si="133"/>
        <v>81.289017892878604</v>
      </c>
      <c r="P277" s="310">
        <f t="shared" ca="1" si="134"/>
        <v>7</v>
      </c>
      <c r="Q277" s="304">
        <f t="shared" ca="1" si="135"/>
        <v>467.04255319150127</v>
      </c>
      <c r="R277" s="306">
        <f t="shared" ca="1" si="136"/>
        <v>0.23438689713065231</v>
      </c>
      <c r="S277" s="307">
        <f t="shared" ca="1" si="137"/>
        <v>5.7640300176580492</v>
      </c>
      <c r="T277" s="304">
        <f t="shared" ca="1" si="117"/>
        <v>56.545134473225467</v>
      </c>
      <c r="U277" s="311">
        <f t="shared" ca="1" si="118"/>
        <v>0</v>
      </c>
      <c r="V277" s="306">
        <f t="shared" ca="1" si="119"/>
        <v>1.1042203345781487</v>
      </c>
      <c r="W277" s="304">
        <f t="shared" ca="1" si="120"/>
        <v>211.25188217070806</v>
      </c>
      <c r="Y277" s="314" t="str">
        <f t="shared" ca="1" si="138"/>
        <v/>
      </c>
      <c r="Z277" s="315" t="str">
        <f t="shared" ca="1" si="139"/>
        <v/>
      </c>
      <c r="AA277" s="316" t="str">
        <f t="shared" ca="1" si="140"/>
        <v/>
      </c>
      <c r="AC277" s="310" t="e">
        <f t="shared" ca="1" si="141"/>
        <v>#N/A</v>
      </c>
      <c r="AD277" s="323" t="e">
        <f t="shared" ca="1" si="142"/>
        <v>#N/A</v>
      </c>
      <c r="AE277" s="324">
        <f t="shared" ca="1" si="121"/>
        <v>1037.0823543726817</v>
      </c>
      <c r="AG277" s="306">
        <f t="shared" ca="1" si="143"/>
        <v>34.742703441296989</v>
      </c>
      <c r="AH277" s="304">
        <f t="shared" ca="1" si="144"/>
        <v>44.439608778660869</v>
      </c>
    </row>
    <row r="278" spans="1:34" x14ac:dyDescent="0.2">
      <c r="A278" s="347">
        <f t="shared" ca="1" si="122"/>
        <v>0.01</v>
      </c>
      <c r="B278" s="304">
        <f t="shared" ca="1" si="123"/>
        <v>6.7399999999999416</v>
      </c>
      <c r="D278" s="306">
        <f t="shared" ca="1" si="124"/>
        <v>6.6699496723095857</v>
      </c>
      <c r="E278" s="307">
        <f t="shared" ca="1" si="125"/>
        <v>33.722509250025553</v>
      </c>
      <c r="F278" s="304">
        <f t="shared" ca="1" si="126"/>
        <v>34.375803390600218</v>
      </c>
      <c r="G278" s="306">
        <f t="shared" ca="1" si="127"/>
        <v>51.55226520343605</v>
      </c>
      <c r="H278" s="307">
        <f t="shared" ca="1" si="128"/>
        <v>336.36612718078135</v>
      </c>
      <c r="I278" s="304">
        <f t="shared" ca="1" si="129"/>
        <v>340.29370779108297</v>
      </c>
      <c r="J278" s="306">
        <f t="shared" ca="1" si="130"/>
        <v>143.76578297478898</v>
      </c>
      <c r="K278" s="307">
        <f t="shared" ca="1" si="131"/>
        <v>1040.444329519027</v>
      </c>
      <c r="L278" s="304">
        <f t="shared" ca="1" si="116"/>
        <v>1050.3299496742211</v>
      </c>
      <c r="M278" s="306">
        <f t="shared" ca="1" si="132"/>
        <v>1.4187173477970394</v>
      </c>
      <c r="N278" s="304">
        <f t="shared" ca="1" si="133"/>
        <v>81.286516350764103</v>
      </c>
      <c r="P278" s="310">
        <f t="shared" ca="1" si="134"/>
        <v>7</v>
      </c>
      <c r="Q278" s="304">
        <f t="shared" ca="1" si="135"/>
        <v>465.00000000001194</v>
      </c>
      <c r="R278" s="306">
        <f t="shared" ca="1" si="136"/>
        <v>0.23336183484991146</v>
      </c>
      <c r="S278" s="307">
        <f t="shared" ca="1" si="137"/>
        <v>5.7616963993095505</v>
      </c>
      <c r="T278" s="304">
        <f t="shared" ca="1" si="117"/>
        <v>56.522241677226695</v>
      </c>
      <c r="U278" s="311">
        <f t="shared" ca="1" si="118"/>
        <v>0</v>
      </c>
      <c r="V278" s="306">
        <f t="shared" ca="1" si="119"/>
        <v>1.1038481570350995</v>
      </c>
      <c r="W278" s="304">
        <f t="shared" ca="1" si="120"/>
        <v>211.60758876461298</v>
      </c>
      <c r="Y278" s="314" t="str">
        <f t="shared" ca="1" si="138"/>
        <v/>
      </c>
      <c r="Z278" s="315" t="str">
        <f t="shared" ca="1" si="139"/>
        <v/>
      </c>
      <c r="AA278" s="316" t="str">
        <f t="shared" ca="1" si="140"/>
        <v/>
      </c>
      <c r="AC278" s="310" t="e">
        <f t="shared" ca="1" si="141"/>
        <v>#N/A</v>
      </c>
      <c r="AD278" s="323" t="e">
        <f t="shared" ca="1" si="142"/>
        <v>#N/A</v>
      </c>
      <c r="AE278" s="324">
        <f t="shared" ca="1" si="121"/>
        <v>1040.444329519027</v>
      </c>
      <c r="AG278" s="306">
        <f t="shared" ca="1" si="143"/>
        <v>34.343681706002144</v>
      </c>
      <c r="AH278" s="304">
        <f t="shared" ca="1" si="144"/>
        <v>44.040522138534001</v>
      </c>
    </row>
    <row r="279" spans="1:34" x14ac:dyDescent="0.2">
      <c r="A279" s="347">
        <f t="shared" ca="1" si="122"/>
        <v>0.01</v>
      </c>
      <c r="B279" s="304">
        <f t="shared" ca="1" si="123"/>
        <v>6.7499999999999414</v>
      </c>
      <c r="D279" s="306">
        <f t="shared" ca="1" si="124"/>
        <v>6.611458403636802</v>
      </c>
      <c r="E279" s="307">
        <f t="shared" ca="1" si="125"/>
        <v>33.328175392919803</v>
      </c>
      <c r="F279" s="304">
        <f t="shared" ca="1" si="126"/>
        <v>33.977619946727359</v>
      </c>
      <c r="G279" s="306">
        <f t="shared" ca="1" si="127"/>
        <v>51.618379787472421</v>
      </c>
      <c r="H279" s="307">
        <f t="shared" ca="1" si="128"/>
        <v>336.69940893471056</v>
      </c>
      <c r="I279" s="304">
        <f t="shared" ca="1" si="129"/>
        <v>340.63315914465403</v>
      </c>
      <c r="J279" s="306">
        <f t="shared" ca="1" si="130"/>
        <v>144.28163619974353</v>
      </c>
      <c r="K279" s="307">
        <f t="shared" ca="1" si="131"/>
        <v>1043.8096571996043</v>
      </c>
      <c r="L279" s="304">
        <f t="shared" ca="1" si="116"/>
        <v>1053.7342126967458</v>
      </c>
      <c r="M279" s="306">
        <f t="shared" ca="1" si="132"/>
        <v>1.4186737187306955</v>
      </c>
      <c r="N279" s="304">
        <f t="shared" ca="1" si="133"/>
        <v>81.28401658939849</v>
      </c>
      <c r="P279" s="310">
        <f t="shared" ca="1" si="134"/>
        <v>7</v>
      </c>
      <c r="Q279" s="304">
        <f t="shared" ca="1" si="135"/>
        <v>462.9574468085226</v>
      </c>
      <c r="R279" s="306">
        <f t="shared" ca="1" si="136"/>
        <v>0.23233677256917065</v>
      </c>
      <c r="S279" s="307">
        <f t="shared" ca="1" si="137"/>
        <v>5.7593730315838592</v>
      </c>
      <c r="T279" s="304">
        <f t="shared" ca="1" si="117"/>
        <v>56.499449439837662</v>
      </c>
      <c r="U279" s="311">
        <f t="shared" ca="1" si="118"/>
        <v>0</v>
      </c>
      <c r="V279" s="306">
        <f t="shared" ca="1" si="119"/>
        <v>1.1034757274563116</v>
      </c>
      <c r="W279" s="304">
        <f t="shared" ca="1" si="120"/>
        <v>211.95842966499742</v>
      </c>
      <c r="Y279" s="314" t="str">
        <f t="shared" ca="1" si="138"/>
        <v/>
      </c>
      <c r="Z279" s="315" t="str">
        <f t="shared" ca="1" si="139"/>
        <v/>
      </c>
      <c r="AA279" s="316" t="str">
        <f t="shared" ca="1" si="140"/>
        <v/>
      </c>
      <c r="AC279" s="310" t="e">
        <f t="shared" ca="1" si="141"/>
        <v>#N/A</v>
      </c>
      <c r="AD279" s="323" t="e">
        <f t="shared" ca="1" si="142"/>
        <v>#N/A</v>
      </c>
      <c r="AE279" s="324">
        <f t="shared" ca="1" si="121"/>
        <v>1043.8096571996043</v>
      </c>
      <c r="AG279" s="306">
        <f t="shared" ca="1" si="143"/>
        <v>33.945102937418191</v>
      </c>
      <c r="AH279" s="304">
        <f t="shared" ca="1" si="144"/>
        <v>43.64187849363649</v>
      </c>
    </row>
    <row r="280" spans="1:34" x14ac:dyDescent="0.2">
      <c r="A280" s="347">
        <f t="shared" ca="1" si="122"/>
        <v>0.01</v>
      </c>
      <c r="B280" s="304">
        <f t="shared" ca="1" si="123"/>
        <v>6.7599999999999412</v>
      </c>
      <c r="D280" s="306">
        <f t="shared" ca="1" si="124"/>
        <v>6.5529990340080797</v>
      </c>
      <c r="E280" s="307">
        <f t="shared" ca="1" si="125"/>
        <v>32.934288189295934</v>
      </c>
      <c r="F280" s="304">
        <f t="shared" ca="1" si="126"/>
        <v>33.579891823460493</v>
      </c>
      <c r="G280" s="306">
        <f t="shared" ca="1" si="127"/>
        <v>51.683909777812502</v>
      </c>
      <c r="H280" s="307">
        <f t="shared" ca="1" si="128"/>
        <v>337.02875181660352</v>
      </c>
      <c r="I280" s="304">
        <f t="shared" ca="1" si="129"/>
        <v>340.96862917426699</v>
      </c>
      <c r="J280" s="306">
        <f t="shared" ca="1" si="130"/>
        <v>144.79814764756995</v>
      </c>
      <c r="K280" s="307">
        <f t="shared" ca="1" si="131"/>
        <v>1047.1782980033609</v>
      </c>
      <c r="L280" s="304">
        <f t="shared" ca="1" si="116"/>
        <v>1057.1418501655221</v>
      </c>
      <c r="M280" s="306">
        <f t="shared" ca="1" si="132"/>
        <v>1.4186301201822491</v>
      </c>
      <c r="N280" s="304">
        <f t="shared" ca="1" si="133"/>
        <v>81.281518576579614</v>
      </c>
      <c r="P280" s="310">
        <f t="shared" ca="1" si="134"/>
        <v>7</v>
      </c>
      <c r="Q280" s="304">
        <f t="shared" ca="1" si="135"/>
        <v>460.91489361703327</v>
      </c>
      <c r="R280" s="306">
        <f t="shared" ca="1" si="136"/>
        <v>0.23131171028842984</v>
      </c>
      <c r="S280" s="307">
        <f t="shared" ca="1" si="137"/>
        <v>5.7570599144809744</v>
      </c>
      <c r="T280" s="304">
        <f t="shared" ca="1" si="117"/>
        <v>56.476757761058359</v>
      </c>
      <c r="U280" s="311">
        <f t="shared" ca="1" si="118"/>
        <v>0</v>
      </c>
      <c r="V280" s="306">
        <f t="shared" ca="1" si="119"/>
        <v>1.1031030505000465</v>
      </c>
      <c r="W280" s="304">
        <f t="shared" ca="1" si="120"/>
        <v>212.30440079977632</v>
      </c>
      <c r="Y280" s="314" t="str">
        <f t="shared" ca="1" si="138"/>
        <v/>
      </c>
      <c r="Z280" s="315" t="str">
        <f t="shared" ca="1" si="139"/>
        <v/>
      </c>
      <c r="AA280" s="316" t="str">
        <f t="shared" ca="1" si="140"/>
        <v/>
      </c>
      <c r="AC280" s="310" t="e">
        <f t="shared" ca="1" si="141"/>
        <v>#N/A</v>
      </c>
      <c r="AD280" s="323" t="e">
        <f t="shared" ca="1" si="142"/>
        <v>#N/A</v>
      </c>
      <c r="AE280" s="324">
        <f t="shared" ca="1" si="121"/>
        <v>1047.1782980033609</v>
      </c>
      <c r="AG280" s="306">
        <f t="shared" ca="1" si="143"/>
        <v>33.546970555068675</v>
      </c>
      <c r="AH280" s="304">
        <f t="shared" ca="1" si="144"/>
        <v>43.24368126269195</v>
      </c>
    </row>
    <row r="281" spans="1:34" x14ac:dyDescent="0.2">
      <c r="A281" s="347">
        <f t="shared" ca="1" si="122"/>
        <v>0.01</v>
      </c>
      <c r="B281" s="304">
        <f t="shared" ca="1" si="123"/>
        <v>6.769999999999941</v>
      </c>
      <c r="D281" s="306">
        <f t="shared" ca="1" si="124"/>
        <v>6.4945721934429264</v>
      </c>
      <c r="E281" s="307">
        <f t="shared" ca="1" si="125"/>
        <v>32.540850958232852</v>
      </c>
      <c r="F281" s="304">
        <f t="shared" ca="1" si="126"/>
        <v>33.182622697155296</v>
      </c>
      <c r="G281" s="306">
        <f t="shared" ca="1" si="127"/>
        <v>51.748855499746931</v>
      </c>
      <c r="H281" s="307">
        <f t="shared" ca="1" si="128"/>
        <v>337.35416032618582</v>
      </c>
      <c r="I281" s="304">
        <f t="shared" ca="1" si="129"/>
        <v>341.30012237753385</v>
      </c>
      <c r="J281" s="306">
        <f t="shared" ca="1" si="130"/>
        <v>145.31531147395773</v>
      </c>
      <c r="K281" s="307">
        <f t="shared" ca="1" si="131"/>
        <v>1050.5502125640749</v>
      </c>
      <c r="L281" s="304">
        <f t="shared" ca="1" si="116"/>
        <v>1060.5528222899586</v>
      </c>
      <c r="M281" s="306">
        <f t="shared" ca="1" si="132"/>
        <v>1.418586551592806</v>
      </c>
      <c r="N281" s="304">
        <f t="shared" ca="1" si="133"/>
        <v>81.27902228028519</v>
      </c>
      <c r="P281" s="310">
        <f t="shared" ca="1" si="134"/>
        <v>7</v>
      </c>
      <c r="Q281" s="304">
        <f t="shared" ca="1" si="135"/>
        <v>458.872340425544</v>
      </c>
      <c r="R281" s="306">
        <f t="shared" ca="1" si="136"/>
        <v>0.23028664800768905</v>
      </c>
      <c r="S281" s="307">
        <f t="shared" ca="1" si="137"/>
        <v>5.7547570480008972</v>
      </c>
      <c r="T281" s="304">
        <f t="shared" ca="1" si="117"/>
        <v>56.454166640888801</v>
      </c>
      <c r="U281" s="311">
        <f t="shared" ca="1" si="118"/>
        <v>0</v>
      </c>
      <c r="V281" s="306">
        <f t="shared" ca="1" si="119"/>
        <v>1.1027301308140738</v>
      </c>
      <c r="W281" s="304">
        <f t="shared" ca="1" si="120"/>
        <v>212.64549835821992</v>
      </c>
      <c r="Y281" s="314" t="str">
        <f t="shared" ca="1" si="138"/>
        <v/>
      </c>
      <c r="Z281" s="315" t="str">
        <f t="shared" ca="1" si="139"/>
        <v/>
      </c>
      <c r="AA281" s="316" t="str">
        <f t="shared" ca="1" si="140"/>
        <v/>
      </c>
      <c r="AC281" s="310" t="e">
        <f t="shared" ca="1" si="141"/>
        <v>#N/A</v>
      </c>
      <c r="AD281" s="323" t="e">
        <f t="shared" ca="1" si="142"/>
        <v>#N/A</v>
      </c>
      <c r="AE281" s="324">
        <f t="shared" ca="1" si="121"/>
        <v>1050.5502125640749</v>
      </c>
      <c r="AG281" s="306">
        <f t="shared" ca="1" si="143"/>
        <v>33.14928793351811</v>
      </c>
      <c r="AH281" s="304">
        <f t="shared" ca="1" si="144"/>
        <v>42.845933819468733</v>
      </c>
    </row>
    <row r="282" spans="1:34" x14ac:dyDescent="0.2">
      <c r="A282" s="347">
        <f t="shared" ca="1" si="122"/>
        <v>0.01</v>
      </c>
      <c r="B282" s="304">
        <f t="shared" ca="1" si="123"/>
        <v>6.7799999999999407</v>
      </c>
      <c r="D282" s="306">
        <f t="shared" ca="1" si="124"/>
        <v>6.436178504645885</v>
      </c>
      <c r="E282" s="307">
        <f t="shared" ca="1" si="125"/>
        <v>32.147866974562909</v>
      </c>
      <c r="F282" s="304">
        <f t="shared" ca="1" si="126"/>
        <v>32.785816213079983</v>
      </c>
      <c r="G282" s="306">
        <f t="shared" ca="1" si="127"/>
        <v>51.813217284793389</v>
      </c>
      <c r="H282" s="307">
        <f t="shared" ca="1" si="128"/>
        <v>337.67563899593142</v>
      </c>
      <c r="I282" s="304">
        <f t="shared" ca="1" si="129"/>
        <v>341.62764328536389</v>
      </c>
      <c r="J282" s="306">
        <f t="shared" ca="1" si="130"/>
        <v>145.83312183788044</v>
      </c>
      <c r="K282" s="307">
        <f t="shared" ca="1" si="131"/>
        <v>1053.9253615606854</v>
      </c>
      <c r="L282" s="304">
        <f t="shared" ca="1" si="116"/>
        <v>1063.9670893245727</v>
      </c>
      <c r="M282" s="306">
        <f t="shared" ca="1" si="132"/>
        <v>1.4185430124065637</v>
      </c>
      <c r="N282" s="304">
        <f t="shared" ca="1" si="133"/>
        <v>81.27652766867007</v>
      </c>
      <c r="P282" s="310">
        <f t="shared" ca="1" si="134"/>
        <v>7</v>
      </c>
      <c r="Q282" s="304">
        <f t="shared" ca="1" si="135"/>
        <v>456.82978723405466</v>
      </c>
      <c r="R282" s="306">
        <f t="shared" ca="1" si="136"/>
        <v>0.22926158572694821</v>
      </c>
      <c r="S282" s="307">
        <f t="shared" ca="1" si="137"/>
        <v>5.7524644321436273</v>
      </c>
      <c r="T282" s="304">
        <f t="shared" ca="1" si="117"/>
        <v>56.431676079328987</v>
      </c>
      <c r="U282" s="311">
        <f t="shared" ca="1" si="118"/>
        <v>0</v>
      </c>
      <c r="V282" s="306">
        <f t="shared" ca="1" si="119"/>
        <v>1.1023569730356317</v>
      </c>
      <c r="W282" s="304">
        <f t="shared" ca="1" si="120"/>
        <v>212.98171878934809</v>
      </c>
      <c r="Y282" s="314" t="str">
        <f t="shared" ca="1" si="138"/>
        <v/>
      </c>
      <c r="Z282" s="315" t="str">
        <f t="shared" ca="1" si="139"/>
        <v/>
      </c>
      <c r="AA282" s="316" t="str">
        <f t="shared" ca="1" si="140"/>
        <v/>
      </c>
      <c r="AC282" s="310" t="e">
        <f t="shared" ca="1" si="141"/>
        <v>#N/A</v>
      </c>
      <c r="AD282" s="323" t="e">
        <f t="shared" ca="1" si="142"/>
        <v>#N/A</v>
      </c>
      <c r="AE282" s="324">
        <f t="shared" ca="1" si="121"/>
        <v>1053.9253615606854</v>
      </c>
      <c r="AG282" s="306">
        <f t="shared" ca="1" si="143"/>
        <v>32.752058402499124</v>
      </c>
      <c r="AH282" s="304">
        <f t="shared" ca="1" si="144"/>
        <v>42.448639492906985</v>
      </c>
    </row>
    <row r="283" spans="1:34" x14ac:dyDescent="0.2">
      <c r="A283" s="347">
        <f t="shared" ca="1" si="122"/>
        <v>0.01</v>
      </c>
      <c r="B283" s="304">
        <f t="shared" ca="1" si="123"/>
        <v>6.7899999999999405</v>
      </c>
      <c r="D283" s="306">
        <f t="shared" ca="1" si="124"/>
        <v>6.3778185830263263</v>
      </c>
      <c r="E283" s="307">
        <f t="shared" ca="1" si="125"/>
        <v>31.755339469000845</v>
      </c>
      <c r="F283" s="304">
        <f t="shared" ca="1" si="126"/>
        <v>32.389475986336656</v>
      </c>
      <c r="G283" s="306">
        <f t="shared" ca="1" si="127"/>
        <v>51.876995470623655</v>
      </c>
      <c r="H283" s="307">
        <f t="shared" ca="1" si="128"/>
        <v>337.9931923906214</v>
      </c>
      <c r="I283" s="304">
        <f t="shared" ca="1" si="129"/>
        <v>341.95119646151659</v>
      </c>
      <c r="J283" s="306">
        <f t="shared" ca="1" si="130"/>
        <v>146.35157290165753</v>
      </c>
      <c r="K283" s="307">
        <f t="shared" ca="1" si="131"/>
        <v>1057.3037057176182</v>
      </c>
      <c r="L283" s="304">
        <f t="shared" ca="1" si="116"/>
        <v>1067.3846115693241</v>
      </c>
      <c r="M283" s="306">
        <f t="shared" ca="1" si="132"/>
        <v>1.4184995020707649</v>
      </c>
      <c r="N283" s="304">
        <f t="shared" ca="1" si="133"/>
        <v>81.274034710063603</v>
      </c>
      <c r="P283" s="310">
        <f t="shared" ca="1" si="134"/>
        <v>7</v>
      </c>
      <c r="Q283" s="304">
        <f t="shared" ca="1" si="135"/>
        <v>454.78723404256533</v>
      </c>
      <c r="R283" s="306">
        <f t="shared" ca="1" si="136"/>
        <v>0.2282365234462074</v>
      </c>
      <c r="S283" s="307">
        <f t="shared" ca="1" si="137"/>
        <v>5.750182066909165</v>
      </c>
      <c r="T283" s="304">
        <f t="shared" ca="1" si="117"/>
        <v>56.409286076378912</v>
      </c>
      <c r="U283" s="311">
        <f t="shared" ca="1" si="118"/>
        <v>0</v>
      </c>
      <c r="V283" s="306">
        <f t="shared" ca="1" si="119"/>
        <v>1.1019835817913952</v>
      </c>
      <c r="W283" s="304">
        <f t="shared" ca="1" si="120"/>
        <v>213.31305880031826</v>
      </c>
      <c r="Y283" s="314" t="str">
        <f t="shared" ca="1" si="138"/>
        <v/>
      </c>
      <c r="Z283" s="315" t="str">
        <f t="shared" ca="1" si="139"/>
        <v/>
      </c>
      <c r="AA283" s="316" t="str">
        <f t="shared" ca="1" si="140"/>
        <v/>
      </c>
      <c r="AC283" s="310" t="e">
        <f t="shared" ca="1" si="141"/>
        <v>#N/A</v>
      </c>
      <c r="AD283" s="323" t="e">
        <f t="shared" ca="1" si="142"/>
        <v>#N/A</v>
      </c>
      <c r="AE283" s="324">
        <f t="shared" ca="1" si="121"/>
        <v>1057.3037057176182</v>
      </c>
      <c r="AG283" s="306">
        <f t="shared" ca="1" si="143"/>
        <v>32.355285247042758</v>
      </c>
      <c r="AH283" s="304">
        <f t="shared" ca="1" si="144"/>
        <v>42.05180156724888</v>
      </c>
    </row>
    <row r="284" spans="1:34" x14ac:dyDescent="0.2">
      <c r="A284" s="347">
        <f t="shared" ca="1" si="122"/>
        <v>0.01</v>
      </c>
      <c r="B284" s="304">
        <f t="shared" ca="1" si="123"/>
        <v>6.7999999999999403</v>
      </c>
      <c r="D284" s="306">
        <f t="shared" ca="1" si="124"/>
        <v>6.3194930367184901</v>
      </c>
      <c r="E284" s="307">
        <f t="shared" ca="1" si="125"/>
        <v>31.363271628275115</v>
      </c>
      <c r="F284" s="304">
        <f t="shared" ca="1" si="126"/>
        <v>31.993605602840393</v>
      </c>
      <c r="G284" s="306">
        <f t="shared" ca="1" si="127"/>
        <v>51.940190400990836</v>
      </c>
      <c r="H284" s="307">
        <f t="shared" ca="1" si="128"/>
        <v>338.30682510690417</v>
      </c>
      <c r="I284" s="304">
        <f t="shared" ca="1" si="129"/>
        <v>342.27078650215623</v>
      </c>
      <c r="J284" s="306">
        <f t="shared" ca="1" si="130"/>
        <v>146.87065883101562</v>
      </c>
      <c r="K284" s="307">
        <f t="shared" ca="1" si="131"/>
        <v>1060.6852058051059</v>
      </c>
      <c r="L284" s="304">
        <f t="shared" ca="1" si="116"/>
        <v>1070.8053493699385</v>
      </c>
      <c r="M284" s="306">
        <f t="shared" ca="1" si="132"/>
        <v>1.4184560200356497</v>
      </c>
      <c r="N284" s="304">
        <f t="shared" ca="1" si="133"/>
        <v>81.271543372966875</v>
      </c>
      <c r="P284" s="310">
        <f t="shared" ca="1" si="134"/>
        <v>7</v>
      </c>
      <c r="Q284" s="304">
        <f t="shared" ca="1" si="135"/>
        <v>452.74468085107605</v>
      </c>
      <c r="R284" s="306">
        <f t="shared" ca="1" si="136"/>
        <v>0.22721146116546662</v>
      </c>
      <c r="S284" s="307">
        <f t="shared" ca="1" si="137"/>
        <v>5.7479099522975101</v>
      </c>
      <c r="T284" s="304">
        <f t="shared" ca="1" si="117"/>
        <v>56.386996632038574</v>
      </c>
      <c r="U284" s="311">
        <f t="shared" ca="1" si="118"/>
        <v>0</v>
      </c>
      <c r="V284" s="306">
        <f t="shared" ca="1" si="119"/>
        <v>1.1016099616974375</v>
      </c>
      <c r="W284" s="304">
        <f t="shared" ca="1" si="120"/>
        <v>213.63951535480612</v>
      </c>
      <c r="Y284" s="314" t="str">
        <f t="shared" ca="1" si="138"/>
        <v/>
      </c>
      <c r="Z284" s="315" t="str">
        <f t="shared" ca="1" si="139"/>
        <v/>
      </c>
      <c r="AA284" s="316" t="str">
        <f t="shared" ca="1" si="140"/>
        <v/>
      </c>
      <c r="AC284" s="310" t="e">
        <f t="shared" ca="1" si="141"/>
        <v>#N/A</v>
      </c>
      <c r="AD284" s="323" t="e">
        <f t="shared" ca="1" si="142"/>
        <v>#N/A</v>
      </c>
      <c r="AE284" s="324">
        <f t="shared" ca="1" si="121"/>
        <v>1060.6852058051059</v>
      </c>
      <c r="AG284" s="306">
        <f t="shared" ca="1" si="143"/>
        <v>31.958971707611155</v>
      </c>
      <c r="AH284" s="304">
        <f t="shared" ca="1" si="144"/>
        <v>41.655423282171292</v>
      </c>
    </row>
    <row r="285" spans="1:34" x14ac:dyDescent="0.2">
      <c r="A285" s="347">
        <f t="shared" ca="1" si="122"/>
        <v>0.01</v>
      </c>
      <c r="B285" s="304">
        <f t="shared" ca="1" si="123"/>
        <v>6.8099999999999401</v>
      </c>
      <c r="D285" s="306">
        <f t="shared" ca="1" si="124"/>
        <v>6.2612024666019925</v>
      </c>
      <c r="E285" s="307">
        <f t="shared" ca="1" si="125"/>
        <v>30.971666595262036</v>
      </c>
      <c r="F285" s="304">
        <f t="shared" ca="1" si="126"/>
        <v>31.59820862036095</v>
      </c>
      <c r="G285" s="306">
        <f t="shared" ca="1" si="127"/>
        <v>52.002802425656853</v>
      </c>
      <c r="H285" s="307">
        <f t="shared" ca="1" si="128"/>
        <v>338.61654177285681</v>
      </c>
      <c r="I285" s="304">
        <f t="shared" ca="1" si="129"/>
        <v>342.58641803540723</v>
      </c>
      <c r="J285" s="306">
        <f t="shared" ca="1" si="130"/>
        <v>147.39037379514886</v>
      </c>
      <c r="K285" s="307">
        <f t="shared" ca="1" si="131"/>
        <v>1064.0698226395048</v>
      </c>
      <c r="L285" s="304">
        <f t="shared" ca="1" si="116"/>
        <v>1074.2292631182324</v>
      </c>
      <c r="M285" s="306">
        <f t="shared" ca="1" si="132"/>
        <v>1.4184125657544107</v>
      </c>
      <c r="N285" s="304">
        <f t="shared" ca="1" si="133"/>
        <v>81.269053626050095</v>
      </c>
      <c r="P285" s="310">
        <f t="shared" ca="1" si="134"/>
        <v>7</v>
      </c>
      <c r="Q285" s="304">
        <f t="shared" ca="1" si="135"/>
        <v>450.70212765958672</v>
      </c>
      <c r="R285" s="306">
        <f t="shared" ca="1" si="136"/>
        <v>0.2261863988847258</v>
      </c>
      <c r="S285" s="307">
        <f t="shared" ca="1" si="137"/>
        <v>5.7456480883086627</v>
      </c>
      <c r="T285" s="304">
        <f t="shared" ca="1" si="117"/>
        <v>56.364807746307982</v>
      </c>
      <c r="U285" s="311">
        <f t="shared" ca="1" si="118"/>
        <v>0</v>
      </c>
      <c r="V285" s="306">
        <f t="shared" ca="1" si="119"/>
        <v>1.1012361173591996</v>
      </c>
      <c r="W285" s="304">
        <f t="shared" ca="1" si="120"/>
        <v>213.96108567138086</v>
      </c>
      <c r="Y285" s="314" t="str">
        <f t="shared" ca="1" si="138"/>
        <v/>
      </c>
      <c r="Z285" s="315" t="str">
        <f t="shared" ca="1" si="139"/>
        <v/>
      </c>
      <c r="AA285" s="316" t="str">
        <f t="shared" ca="1" si="140"/>
        <v/>
      </c>
      <c r="AC285" s="310" t="e">
        <f t="shared" ca="1" si="141"/>
        <v>#N/A</v>
      </c>
      <c r="AD285" s="323" t="e">
        <f t="shared" ca="1" si="142"/>
        <v>#N/A</v>
      </c>
      <c r="AE285" s="324">
        <f t="shared" ca="1" si="121"/>
        <v>1064.0698226395048</v>
      </c>
      <c r="AG285" s="306">
        <f t="shared" ca="1" si="143"/>
        <v>31.563120980233187</v>
      </c>
      <c r="AH285" s="304">
        <f t="shared" ca="1" si="144"/>
        <v>41.259507832921308</v>
      </c>
    </row>
    <row r="286" spans="1:34" x14ac:dyDescent="0.2">
      <c r="A286" s="347">
        <f t="shared" ca="1" si="122"/>
        <v>0.01</v>
      </c>
      <c r="B286" s="304">
        <f t="shared" ca="1" si="123"/>
        <v>6.8199999999999399</v>
      </c>
      <c r="D286" s="306">
        <f t="shared" ca="1" si="124"/>
        <v>6.2029474663225335</v>
      </c>
      <c r="E286" s="307">
        <f t="shared" ca="1" si="125"/>
        <v>30.580527469122444</v>
      </c>
      <c r="F286" s="304">
        <f t="shared" ca="1" si="126"/>
        <v>31.203288569631717</v>
      </c>
      <c r="G286" s="306">
        <f t="shared" ca="1" si="127"/>
        <v>52.06483190032008</v>
      </c>
      <c r="H286" s="307">
        <f t="shared" ca="1" si="128"/>
        <v>338.92234704754804</v>
      </c>
      <c r="I286" s="304">
        <f t="shared" ca="1" si="129"/>
        <v>342.89809572091121</v>
      </c>
      <c r="J286" s="306">
        <f t="shared" ca="1" si="130"/>
        <v>147.91071196677873</v>
      </c>
      <c r="K286" s="307">
        <f t="shared" ca="1" si="131"/>
        <v>1067.4575170836067</v>
      </c>
      <c r="L286" s="304">
        <f t="shared" ca="1" si="116"/>
        <v>1077.6563132524293</v>
      </c>
      <c r="M286" s="306">
        <f t="shared" ca="1" si="132"/>
        <v>1.4183691386831467</v>
      </c>
      <c r="N286" s="304">
        <f t="shared" ca="1" si="133"/>
        <v>81.266565438150053</v>
      </c>
      <c r="P286" s="310">
        <f t="shared" ca="1" si="134"/>
        <v>7</v>
      </c>
      <c r="Q286" s="304">
        <f t="shared" ca="1" si="135"/>
        <v>448.65957446809739</v>
      </c>
      <c r="R286" s="306">
        <f t="shared" ca="1" si="136"/>
        <v>0.22516133660398499</v>
      </c>
      <c r="S286" s="307">
        <f t="shared" ca="1" si="137"/>
        <v>5.7433964749426227</v>
      </c>
      <c r="T286" s="304">
        <f t="shared" ca="1" si="117"/>
        <v>56.342719419187134</v>
      </c>
      <c r="U286" s="311">
        <f t="shared" ca="1" si="118"/>
        <v>0</v>
      </c>
      <c r="V286" s="306">
        <f t="shared" ca="1" si="119"/>
        <v>1.1008620533714564</v>
      </c>
      <c r="W286" s="304">
        <f t="shared" ca="1" si="120"/>
        <v>214.27776722187329</v>
      </c>
      <c r="Y286" s="314" t="str">
        <f t="shared" ca="1" si="138"/>
        <v/>
      </c>
      <c r="Z286" s="315" t="str">
        <f t="shared" ca="1" si="139"/>
        <v/>
      </c>
      <c r="AA286" s="316" t="str">
        <f t="shared" ca="1" si="140"/>
        <v/>
      </c>
      <c r="AC286" s="310" t="e">
        <f t="shared" ca="1" si="141"/>
        <v>#N/A</v>
      </c>
      <c r="AD286" s="323" t="e">
        <f t="shared" ca="1" si="142"/>
        <v>#N/A</v>
      </c>
      <c r="AE286" s="324">
        <f t="shared" ca="1" si="121"/>
        <v>1067.4575170836067</v>
      </c>
      <c r="AG286" s="306">
        <f t="shared" ca="1" si="143"/>
        <v>31.167736216642524</v>
      </c>
      <c r="AH286" s="304">
        <f t="shared" ca="1" si="144"/>
        <v>40.864058370454252</v>
      </c>
    </row>
    <row r="287" spans="1:34" x14ac:dyDescent="0.2">
      <c r="A287" s="347">
        <f t="shared" ca="1" si="122"/>
        <v>0.01</v>
      </c>
      <c r="B287" s="304">
        <f t="shared" ca="1" si="123"/>
        <v>6.8299999999999397</v>
      </c>
      <c r="D287" s="306">
        <f t="shared" ca="1" si="124"/>
        <v>6.1447286223130186</v>
      </c>
      <c r="E287" s="307">
        <f t="shared" ca="1" si="125"/>
        <v>30.189857305440981</v>
      </c>
      <c r="F287" s="304">
        <f t="shared" ca="1" si="126"/>
        <v>30.808848955531609</v>
      </c>
      <c r="G287" s="306">
        <f t="shared" ca="1" si="127"/>
        <v>52.126279186543208</v>
      </c>
      <c r="H287" s="307">
        <f t="shared" ca="1" si="128"/>
        <v>339.22424562060246</v>
      </c>
      <c r="I287" s="304">
        <f t="shared" ca="1" si="129"/>
        <v>343.20582424938578</v>
      </c>
      <c r="J287" s="306">
        <f t="shared" ca="1" si="130"/>
        <v>148.43166752221305</v>
      </c>
      <c r="K287" s="307">
        <f t="shared" ca="1" si="131"/>
        <v>1070.8482500469474</v>
      </c>
      <c r="L287" s="304">
        <f t="shared" ca="1" si="116"/>
        <v>1081.0864602574738</v>
      </c>
      <c r="M287" s="306">
        <f t="shared" ca="1" si="132"/>
        <v>1.4183257382808185</v>
      </c>
      <c r="N287" s="304">
        <f t="shared" ca="1" si="133"/>
        <v>81.264078778267489</v>
      </c>
      <c r="P287" s="310">
        <f t="shared" ca="1" si="134"/>
        <v>7</v>
      </c>
      <c r="Q287" s="304">
        <f t="shared" ca="1" si="135"/>
        <v>446.61702127660806</v>
      </c>
      <c r="R287" s="306">
        <f t="shared" ca="1" si="136"/>
        <v>0.22413627432324415</v>
      </c>
      <c r="S287" s="307">
        <f t="shared" ca="1" si="137"/>
        <v>5.7411551121993902</v>
      </c>
      <c r="T287" s="304">
        <f t="shared" ca="1" si="117"/>
        <v>56.320731650676024</v>
      </c>
      <c r="U287" s="311">
        <f t="shared" ca="1" si="118"/>
        <v>0</v>
      </c>
      <c r="V287" s="306">
        <f t="shared" ca="1" si="119"/>
        <v>1.1004877743182848</v>
      </c>
      <c r="W287" s="304">
        <f t="shared" ca="1" si="120"/>
        <v>214.58955772973925</v>
      </c>
      <c r="Y287" s="314" t="str">
        <f t="shared" ca="1" si="138"/>
        <v/>
      </c>
      <c r="Z287" s="315" t="str">
        <f t="shared" ca="1" si="139"/>
        <v/>
      </c>
      <c r="AA287" s="316" t="str">
        <f t="shared" ca="1" si="140"/>
        <v/>
      </c>
      <c r="AC287" s="310" t="e">
        <f t="shared" ca="1" si="141"/>
        <v>#N/A</v>
      </c>
      <c r="AD287" s="323" t="e">
        <f t="shared" ca="1" si="142"/>
        <v>#N/A</v>
      </c>
      <c r="AE287" s="324">
        <f t="shared" ca="1" si="121"/>
        <v>1070.8482500469474</v>
      </c>
      <c r="AG287" s="306">
        <f t="shared" ca="1" si="143"/>
        <v>30.772820524418382</v>
      </c>
      <c r="AH287" s="304">
        <f t="shared" ca="1" si="144"/>
        <v>40.469078001574402</v>
      </c>
    </row>
    <row r="288" spans="1:34" x14ac:dyDescent="0.2">
      <c r="A288" s="347">
        <f t="shared" ca="1" si="122"/>
        <v>0.01</v>
      </c>
      <c r="B288" s="304">
        <f t="shared" ca="1" si="123"/>
        <v>6.8399999999999395</v>
      </c>
      <c r="D288" s="306">
        <f t="shared" ca="1" si="124"/>
        <v>6.0865465138149677</v>
      </c>
      <c r="E288" s="307">
        <f t="shared" ca="1" si="125"/>
        <v>29.799659116367742</v>
      </c>
      <c r="F288" s="304">
        <f t="shared" ca="1" si="126"/>
        <v>30.414893258345526</v>
      </c>
      <c r="G288" s="306">
        <f t="shared" ca="1" si="127"/>
        <v>52.187144651681358</v>
      </c>
      <c r="H288" s="307">
        <f t="shared" ca="1" si="128"/>
        <v>339.52224221176613</v>
      </c>
      <c r="I288" s="304">
        <f t="shared" ca="1" si="129"/>
        <v>343.50960834218409</v>
      </c>
      <c r="J288" s="306">
        <f t="shared" ca="1" si="130"/>
        <v>148.95323464140418</v>
      </c>
      <c r="K288" s="307">
        <f t="shared" ca="1" si="131"/>
        <v>1074.2419824861092</v>
      </c>
      <c r="L288" s="304">
        <f t="shared" ca="1" si="116"/>
        <v>1084.5196646653408</v>
      </c>
      <c r="M288" s="306">
        <f t="shared" ca="1" si="132"/>
        <v>1.4182823640092035</v>
      </c>
      <c r="N288" s="304">
        <f t="shared" ca="1" si="133"/>
        <v>81.261593615564493</v>
      </c>
      <c r="P288" s="310">
        <f t="shared" ca="1" si="134"/>
        <v>7</v>
      </c>
      <c r="Q288" s="304">
        <f t="shared" ca="1" si="135"/>
        <v>444.57446808511872</v>
      </c>
      <c r="R288" s="306">
        <f t="shared" ca="1" si="136"/>
        <v>0.22311121204250334</v>
      </c>
      <c r="S288" s="307">
        <f t="shared" ca="1" si="137"/>
        <v>5.7389240000789652</v>
      </c>
      <c r="T288" s="304">
        <f t="shared" ca="1" si="117"/>
        <v>56.298844440774651</v>
      </c>
      <c r="U288" s="311">
        <f t="shared" ca="1" si="118"/>
        <v>0</v>
      </c>
      <c r="V288" s="306">
        <f t="shared" ca="1" si="119"/>
        <v>1.1001132847730315</v>
      </c>
      <c r="W288" s="304">
        <f t="shared" ca="1" si="120"/>
        <v>214.89645516841594</v>
      </c>
      <c r="Y288" s="314" t="str">
        <f t="shared" ca="1" si="138"/>
        <v/>
      </c>
      <c r="Z288" s="315" t="str">
        <f t="shared" ca="1" si="139"/>
        <v/>
      </c>
      <c r="AA288" s="316" t="str">
        <f t="shared" ca="1" si="140"/>
        <v/>
      </c>
      <c r="AC288" s="310" t="e">
        <f t="shared" ca="1" si="141"/>
        <v>#N/A</v>
      </c>
      <c r="AD288" s="323" t="e">
        <f t="shared" ca="1" si="142"/>
        <v>#N/A</v>
      </c>
      <c r="AE288" s="324">
        <f t="shared" ca="1" si="121"/>
        <v>1074.2419824861092</v>
      </c>
      <c r="AG288" s="306">
        <f t="shared" ca="1" si="143"/>
        <v>30.378376967128688</v>
      </c>
      <c r="AH288" s="304">
        <f t="shared" ca="1" si="144"/>
        <v>40.074569789078055</v>
      </c>
    </row>
    <row r="289" spans="1:34" x14ac:dyDescent="0.2">
      <c r="A289" s="347">
        <f t="shared" ca="1" si="122"/>
        <v>0.01</v>
      </c>
      <c r="B289" s="304">
        <f t="shared" ca="1" si="123"/>
        <v>6.8499999999999392</v>
      </c>
      <c r="D289" s="306">
        <f t="shared" ca="1" si="124"/>
        <v>6.0284017129002923</v>
      </c>
      <c r="E289" s="307">
        <f t="shared" ca="1" si="125"/>
        <v>29.409935870762652</v>
      </c>
      <c r="F289" s="304">
        <f t="shared" ca="1" si="126"/>
        <v>30.021424935110439</v>
      </c>
      <c r="G289" s="306">
        <f t="shared" ca="1" si="127"/>
        <v>52.247428668810358</v>
      </c>
      <c r="H289" s="307">
        <f t="shared" ca="1" si="128"/>
        <v>339.81634157047375</v>
      </c>
      <c r="I289" s="304">
        <f t="shared" ca="1" si="129"/>
        <v>343.80945275085634</v>
      </c>
      <c r="J289" s="306">
        <f t="shared" ca="1" si="130"/>
        <v>149.47540750800664</v>
      </c>
      <c r="K289" s="307">
        <f t="shared" ca="1" si="131"/>
        <v>1077.6386754050204</v>
      </c>
      <c r="L289" s="304">
        <f t="shared" ca="1" si="116"/>
        <v>1087.9558870553399</v>
      </c>
      <c r="M289" s="306">
        <f t="shared" ca="1" si="132"/>
        <v>1.418239015332853</v>
      </c>
      <c r="N289" s="304">
        <f t="shared" ca="1" si="133"/>
        <v>81.259109919362132</v>
      </c>
      <c r="P289" s="310">
        <f t="shared" ca="1" si="134"/>
        <v>7</v>
      </c>
      <c r="Q289" s="304">
        <f t="shared" ca="1" si="135"/>
        <v>442.53191489362945</v>
      </c>
      <c r="R289" s="306">
        <f t="shared" ca="1" si="136"/>
        <v>0.22208614976176255</v>
      </c>
      <c r="S289" s="307">
        <f t="shared" ca="1" si="137"/>
        <v>5.7367031385813476</v>
      </c>
      <c r="T289" s="304">
        <f t="shared" ca="1" si="117"/>
        <v>56.277057789483024</v>
      </c>
      <c r="U289" s="311">
        <f t="shared" ca="1" si="118"/>
        <v>0</v>
      </c>
      <c r="V289" s="306">
        <f t="shared" ca="1" si="119"/>
        <v>1.0997385892982829</v>
      </c>
      <c r="W289" s="304">
        <f t="shared" ca="1" si="120"/>
        <v>215.19845775967423</v>
      </c>
      <c r="Y289" s="314" t="str">
        <f t="shared" ca="1" si="138"/>
        <v/>
      </c>
      <c r="Z289" s="315" t="str">
        <f t="shared" ca="1" si="139"/>
        <v/>
      </c>
      <c r="AA289" s="316" t="str">
        <f t="shared" ca="1" si="140"/>
        <v/>
      </c>
      <c r="AC289" s="310" t="e">
        <f t="shared" ca="1" si="141"/>
        <v>#N/A</v>
      </c>
      <c r="AD289" s="323" t="e">
        <f t="shared" ca="1" si="142"/>
        <v>#N/A</v>
      </c>
      <c r="AE289" s="324">
        <f t="shared" ca="1" si="121"/>
        <v>1077.6386754050204</v>
      </c>
      <c r="AG289" s="306">
        <f t="shared" ca="1" si="143"/>
        <v>29.984408564475938</v>
      </c>
      <c r="AH289" s="304">
        <f t="shared" ca="1" si="144"/>
        <v>39.680536751899346</v>
      </c>
    </row>
    <row r="290" spans="1:34" x14ac:dyDescent="0.2">
      <c r="A290" s="347">
        <f t="shared" ca="1" si="122"/>
        <v>0.01</v>
      </c>
      <c r="B290" s="304">
        <f t="shared" ca="1" si="123"/>
        <v>6.859999999999939</v>
      </c>
      <c r="D290" s="306">
        <f t="shared" ca="1" si="124"/>
        <v>5.9702947844932881</v>
      </c>
      <c r="E290" s="307">
        <f t="shared" ca="1" si="125"/>
        <v>29.020690494342041</v>
      </c>
      <c r="F290" s="304">
        <f t="shared" ca="1" si="126"/>
        <v>29.628447421053675</v>
      </c>
      <c r="G290" s="306">
        <f t="shared" ca="1" si="127"/>
        <v>52.30713161665529</v>
      </c>
      <c r="H290" s="307">
        <f t="shared" ca="1" si="128"/>
        <v>340.10654847541718</v>
      </c>
      <c r="I290" s="304">
        <f t="shared" ca="1" si="129"/>
        <v>344.10536225671262</v>
      </c>
      <c r="J290" s="306">
        <f t="shared" ca="1" si="130"/>
        <v>149.99818030943396</v>
      </c>
      <c r="K290" s="307">
        <f t="shared" ca="1" si="131"/>
        <v>1081.0382898552498</v>
      </c>
      <c r="L290" s="304">
        <f t="shared" ca="1" si="116"/>
        <v>1091.3950880544151</v>
      </c>
      <c r="M290" s="306">
        <f t="shared" ca="1" si="132"/>
        <v>1.4181956917190477</v>
      </c>
      <c r="N290" s="304">
        <f t="shared" ca="1" si="133"/>
        <v>81.25662765913782</v>
      </c>
      <c r="P290" s="310">
        <f t="shared" ca="1" si="134"/>
        <v>7</v>
      </c>
      <c r="Q290" s="304">
        <f t="shared" ca="1" si="135"/>
        <v>440.48936170214012</v>
      </c>
      <c r="R290" s="306">
        <f t="shared" ca="1" si="136"/>
        <v>0.22106108748102174</v>
      </c>
      <c r="S290" s="307">
        <f t="shared" ca="1" si="137"/>
        <v>5.7344925277065375</v>
      </c>
      <c r="T290" s="304">
        <f t="shared" ca="1" si="117"/>
        <v>56.255371696801134</v>
      </c>
      <c r="U290" s="311">
        <f t="shared" ca="1" si="118"/>
        <v>0</v>
      </c>
      <c r="V290" s="306">
        <f t="shared" ca="1" si="119"/>
        <v>1.0993636924458363</v>
      </c>
      <c r="W290" s="304">
        <f t="shared" ca="1" si="120"/>
        <v>215.49556397196525</v>
      </c>
      <c r="Y290" s="314" t="str">
        <f t="shared" ca="1" si="138"/>
        <v/>
      </c>
      <c r="Z290" s="315" t="str">
        <f t="shared" ca="1" si="139"/>
        <v/>
      </c>
      <c r="AA290" s="316" t="str">
        <f t="shared" ca="1" si="140"/>
        <v/>
      </c>
      <c r="AC290" s="310" t="e">
        <f t="shared" ca="1" si="141"/>
        <v>#N/A</v>
      </c>
      <c r="AD290" s="323" t="e">
        <f t="shared" ca="1" si="142"/>
        <v>#N/A</v>
      </c>
      <c r="AE290" s="324">
        <f t="shared" ca="1" si="121"/>
        <v>1081.0382898552498</v>
      </c>
      <c r="AG290" s="306">
        <f t="shared" ca="1" si="143"/>
        <v>29.590918292445291</v>
      </c>
      <c r="AH290" s="304">
        <f t="shared" ca="1" si="144"/>
        <v>39.286981865258284</v>
      </c>
    </row>
    <row r="291" spans="1:34" x14ac:dyDescent="0.2">
      <c r="A291" s="347">
        <f t="shared" ca="1" si="122"/>
        <v>0.01</v>
      </c>
      <c r="B291" s="304">
        <f t="shared" ca="1" si="123"/>
        <v>6.8699999999999388</v>
      </c>
      <c r="D291" s="306">
        <f t="shared" ca="1" si="124"/>
        <v>5.9122262863930786</v>
      </c>
      <c r="E291" s="307">
        <f t="shared" ca="1" si="125"/>
        <v>28.631925869827683</v>
      </c>
      <c r="F291" s="304">
        <f t="shared" ca="1" si="126"/>
        <v>29.235964131131798</v>
      </c>
      <c r="G291" s="306">
        <f t="shared" ca="1" si="127"/>
        <v>52.366253879519221</v>
      </c>
      <c r="H291" s="307">
        <f t="shared" ca="1" si="128"/>
        <v>340.39286773411544</v>
      </c>
      <c r="I291" s="304">
        <f t="shared" ca="1" si="129"/>
        <v>344.39734167038699</v>
      </c>
      <c r="J291" s="306">
        <f t="shared" ca="1" si="130"/>
        <v>150.52154723691484</v>
      </c>
      <c r="K291" s="307">
        <f t="shared" ca="1" si="131"/>
        <v>1084.4407869362974</v>
      </c>
      <c r="L291" s="304">
        <f t="shared" ca="1" si="116"/>
        <v>1094.8372283374413</v>
      </c>
      <c r="M291" s="306">
        <f t="shared" ca="1" si="132"/>
        <v>1.4181523926377553</v>
      </c>
      <c r="N291" s="304">
        <f t="shared" ca="1" si="133"/>
        <v>81.254146804522975</v>
      </c>
      <c r="P291" s="310">
        <f t="shared" ca="1" si="134"/>
        <v>7</v>
      </c>
      <c r="Q291" s="304">
        <f t="shared" ca="1" si="135"/>
        <v>438.44680851065084</v>
      </c>
      <c r="R291" s="306">
        <f t="shared" ca="1" si="136"/>
        <v>0.22003602520028093</v>
      </c>
      <c r="S291" s="307">
        <f t="shared" ca="1" si="137"/>
        <v>5.7322921674545348</v>
      </c>
      <c r="T291" s="304">
        <f t="shared" ca="1" si="117"/>
        <v>56.23378616272899</v>
      </c>
      <c r="U291" s="311">
        <f t="shared" ca="1" si="118"/>
        <v>0</v>
      </c>
      <c r="V291" s="306">
        <f t="shared" ca="1" si="119"/>
        <v>1.0989885987566668</v>
      </c>
      <c r="W291" s="304">
        <f t="shared" ca="1" si="120"/>
        <v>215.78777251876139</v>
      </c>
      <c r="Y291" s="314" t="str">
        <f t="shared" ca="1" si="138"/>
        <v/>
      </c>
      <c r="Z291" s="315" t="str">
        <f t="shared" ca="1" si="139"/>
        <v/>
      </c>
      <c r="AA291" s="316" t="str">
        <f t="shared" ca="1" si="140"/>
        <v/>
      </c>
      <c r="AC291" s="310" t="e">
        <f t="shared" ca="1" si="141"/>
        <v>#N/A</v>
      </c>
      <c r="AD291" s="323" t="e">
        <f t="shared" ca="1" si="142"/>
        <v>#N/A</v>
      </c>
      <c r="AE291" s="324">
        <f t="shared" ca="1" si="121"/>
        <v>1084.4407869362974</v>
      </c>
      <c r="AG291" s="306">
        <f t="shared" ca="1" si="143"/>
        <v>29.197909083455208</v>
      </c>
      <c r="AH291" s="304">
        <f t="shared" ca="1" si="144"/>
        <v>38.893908060811327</v>
      </c>
    </row>
    <row r="292" spans="1:34" x14ac:dyDescent="0.2">
      <c r="A292" s="347">
        <f t="shared" ca="1" si="122"/>
        <v>0.01</v>
      </c>
      <c r="B292" s="304">
        <f t="shared" ca="1" si="123"/>
        <v>6.8799999999999386</v>
      </c>
      <c r="D292" s="306">
        <f t="shared" ca="1" si="124"/>
        <v>5.8541967692962587</v>
      </c>
      <c r="E292" s="307">
        <f t="shared" ca="1" si="125"/>
        <v>28.243644837098344</v>
      </c>
      <c r="F292" s="304">
        <f t="shared" ca="1" si="126"/>
        <v>28.843978461678802</v>
      </c>
      <c r="G292" s="306">
        <f t="shared" ca="1" si="127"/>
        <v>52.424795847212181</v>
      </c>
      <c r="H292" s="307">
        <f t="shared" ca="1" si="128"/>
        <v>340.6753041824864</v>
      </c>
      <c r="I292" s="304">
        <f t="shared" ca="1" si="129"/>
        <v>344.68539583140381</v>
      </c>
      <c r="J292" s="306">
        <f t="shared" ca="1" si="130"/>
        <v>151.0455024855485</v>
      </c>
      <c r="K292" s="307">
        <f t="shared" ca="1" si="131"/>
        <v>1087.8461277958804</v>
      </c>
      <c r="L292" s="304">
        <f t="shared" ca="1" si="116"/>
        <v>1098.2822686275158</v>
      </c>
      <c r="M292" s="306">
        <f t="shared" ca="1" si="132"/>
        <v>1.4181091175615879</v>
      </c>
      <c r="N292" s="304">
        <f t="shared" ca="1" si="133"/>
        <v>81.251667325300474</v>
      </c>
      <c r="P292" s="310">
        <f t="shared" ca="1" si="134"/>
        <v>7</v>
      </c>
      <c r="Q292" s="304">
        <f t="shared" ca="1" si="135"/>
        <v>436.40425531916151</v>
      </c>
      <c r="R292" s="306">
        <f t="shared" ca="1" si="136"/>
        <v>0.21901096291954011</v>
      </c>
      <c r="S292" s="307">
        <f t="shared" ca="1" si="137"/>
        <v>5.7301020578253397</v>
      </c>
      <c r="T292" s="304">
        <f t="shared" ca="1" si="117"/>
        <v>56.212301187266583</v>
      </c>
      <c r="U292" s="311">
        <f t="shared" ca="1" si="118"/>
        <v>0</v>
      </c>
      <c r="V292" s="306">
        <f t="shared" ca="1" si="119"/>
        <v>1.0986133127609046</v>
      </c>
      <c r="W292" s="304">
        <f t="shared" ca="1" si="120"/>
        <v>216.07508235689497</v>
      </c>
      <c r="Y292" s="314" t="str">
        <f t="shared" ca="1" si="138"/>
        <v/>
      </c>
      <c r="Z292" s="315" t="str">
        <f t="shared" ca="1" si="139"/>
        <v/>
      </c>
      <c r="AA292" s="316" t="str">
        <f t="shared" ca="1" si="140"/>
        <v/>
      </c>
      <c r="AC292" s="310" t="e">
        <f t="shared" ca="1" si="141"/>
        <v>#N/A</v>
      </c>
      <c r="AD292" s="323" t="e">
        <f t="shared" ca="1" si="142"/>
        <v>#N/A</v>
      </c>
      <c r="AE292" s="324">
        <f t="shared" ca="1" si="121"/>
        <v>1087.8461277958804</v>
      </c>
      <c r="AG292" s="306">
        <f t="shared" ca="1" si="143"/>
        <v>28.805383826510507</v>
      </c>
      <c r="AH292" s="304">
        <f t="shared" ca="1" si="144"/>
        <v>38.501318226804393</v>
      </c>
    </row>
    <row r="293" spans="1:34" x14ac:dyDescent="0.2">
      <c r="A293" s="347">
        <f t="shared" ca="1" si="122"/>
        <v>0.01</v>
      </c>
      <c r="B293" s="304">
        <f t="shared" ca="1" si="123"/>
        <v>6.8899999999999384</v>
      </c>
      <c r="D293" s="306">
        <f t="shared" ca="1" si="124"/>
        <v>5.7962067768198624</v>
      </c>
      <c r="E293" s="307">
        <f t="shared" ca="1" si="125"/>
        <v>27.855850193343215</v>
      </c>
      <c r="F293" s="304">
        <f t="shared" ca="1" si="126"/>
        <v>28.452493792172803</v>
      </c>
      <c r="G293" s="306">
        <f t="shared" ca="1" si="127"/>
        <v>52.482757914980382</v>
      </c>
      <c r="H293" s="307">
        <f t="shared" ca="1" si="128"/>
        <v>340.95386268441985</v>
      </c>
      <c r="I293" s="304">
        <f t="shared" ca="1" si="129"/>
        <v>344.96952960774473</v>
      </c>
      <c r="J293" s="306">
        <f t="shared" ca="1" si="130"/>
        <v>151.57004025435947</v>
      </c>
      <c r="K293" s="307">
        <f t="shared" ca="1" si="131"/>
        <v>1091.254273630215</v>
      </c>
      <c r="L293" s="304">
        <f t="shared" ca="1" si="116"/>
        <v>1101.7301696962447</v>
      </c>
      <c r="M293" s="306">
        <f t="shared" ca="1" si="132"/>
        <v>1.4180658659657603</v>
      </c>
      <c r="N293" s="304">
        <f t="shared" ca="1" si="133"/>
        <v>81.249189191402351</v>
      </c>
      <c r="P293" s="310">
        <f t="shared" ca="1" si="134"/>
        <v>7</v>
      </c>
      <c r="Q293" s="304">
        <f t="shared" ca="1" si="135"/>
        <v>434.36170212767217</v>
      </c>
      <c r="R293" s="306">
        <f t="shared" ca="1" si="136"/>
        <v>0.2179859006387993</v>
      </c>
      <c r="S293" s="307">
        <f t="shared" ca="1" si="137"/>
        <v>5.7279221988189519</v>
      </c>
      <c r="T293" s="304">
        <f t="shared" ca="1" si="117"/>
        <v>56.190916770413921</v>
      </c>
      <c r="U293" s="311">
        <f t="shared" ca="1" si="118"/>
        <v>0</v>
      </c>
      <c r="V293" s="306">
        <f t="shared" ca="1" si="119"/>
        <v>1.0982378389778022</v>
      </c>
      <c r="W293" s="304">
        <f t="shared" ca="1" si="120"/>
        <v>216.35749268488968</v>
      </c>
      <c r="Y293" s="314" t="str">
        <f t="shared" ca="1" si="138"/>
        <v/>
      </c>
      <c r="Z293" s="315" t="str">
        <f t="shared" ca="1" si="139"/>
        <v/>
      </c>
      <c r="AA293" s="316" t="str">
        <f t="shared" ca="1" si="140"/>
        <v/>
      </c>
      <c r="AC293" s="310" t="e">
        <f t="shared" ca="1" si="141"/>
        <v>#N/A</v>
      </c>
      <c r="AD293" s="323" t="e">
        <f t="shared" ca="1" si="142"/>
        <v>#N/A</v>
      </c>
      <c r="AE293" s="324">
        <f t="shared" ca="1" si="121"/>
        <v>1091.254273630215</v>
      </c>
      <c r="AG293" s="306">
        <f t="shared" ca="1" si="143"/>
        <v>28.413345367357444</v>
      </c>
      <c r="AH293" s="304">
        <f t="shared" ca="1" si="144"/>
        <v>38.109215208227866</v>
      </c>
    </row>
    <row r="294" spans="1:34" x14ac:dyDescent="0.2">
      <c r="A294" s="347">
        <f t="shared" ca="1" si="122"/>
        <v>0.01</v>
      </c>
      <c r="B294" s="304">
        <f t="shared" ca="1" si="123"/>
        <v>6.8999999999999382</v>
      </c>
      <c r="D294" s="306">
        <f t="shared" ca="1" si="124"/>
        <v>5.7382568455246519</v>
      </c>
      <c r="E294" s="307">
        <f t="shared" ca="1" si="125"/>
        <v>27.468544693218149</v>
      </c>
      <c r="F294" s="304">
        <f t="shared" ca="1" si="126"/>
        <v>28.061513487132753</v>
      </c>
      <c r="G294" s="306">
        <f t="shared" ca="1" si="127"/>
        <v>52.540140483435628</v>
      </c>
      <c r="H294" s="307">
        <f t="shared" ca="1" si="128"/>
        <v>341.228548131352</v>
      </c>
      <c r="I294" s="304">
        <f t="shared" ca="1" si="129"/>
        <v>345.24974789541784</v>
      </c>
      <c r="J294" s="306">
        <f t="shared" ca="1" si="130"/>
        <v>152.09515474635154</v>
      </c>
      <c r="K294" s="307">
        <f t="shared" ca="1" si="131"/>
        <v>1094.6651856842939</v>
      </c>
      <c r="L294" s="304">
        <f t="shared" ca="1" si="116"/>
        <v>1105.1808923640267</v>
      </c>
      <c r="M294" s="306">
        <f t="shared" ca="1" si="132"/>
        <v>1.4180226373280485</v>
      </c>
      <c r="N294" s="304">
        <f t="shared" ca="1" si="133"/>
        <v>81.246712372907368</v>
      </c>
      <c r="P294" s="310">
        <f t="shared" ca="1" si="134"/>
        <v>7</v>
      </c>
      <c r="Q294" s="304">
        <f t="shared" ca="1" si="135"/>
        <v>432.31914893618284</v>
      </c>
      <c r="R294" s="306">
        <f t="shared" ca="1" si="136"/>
        <v>0.21696083835805849</v>
      </c>
      <c r="S294" s="307">
        <f t="shared" ca="1" si="137"/>
        <v>5.7257525904353717</v>
      </c>
      <c r="T294" s="304">
        <f t="shared" ca="1" si="117"/>
        <v>56.169632912170997</v>
      </c>
      <c r="U294" s="311">
        <f t="shared" ca="1" si="118"/>
        <v>0</v>
      </c>
      <c r="V294" s="306">
        <f t="shared" ca="1" si="119"/>
        <v>1.0978621819157108</v>
      </c>
      <c r="W294" s="304">
        <f t="shared" ca="1" si="120"/>
        <v>216.63500294129</v>
      </c>
      <c r="Y294" s="314" t="str">
        <f t="shared" ca="1" si="138"/>
        <v/>
      </c>
      <c r="Z294" s="315" t="str">
        <f t="shared" ca="1" si="139"/>
        <v/>
      </c>
      <c r="AA294" s="316" t="str">
        <f t="shared" ca="1" si="140"/>
        <v/>
      </c>
      <c r="AC294" s="310" t="e">
        <f t="shared" ca="1" si="141"/>
        <v>#N/A</v>
      </c>
      <c r="AD294" s="323" t="e">
        <f t="shared" ca="1" si="142"/>
        <v>#N/A</v>
      </c>
      <c r="AE294" s="324">
        <f t="shared" ca="1" si="121"/>
        <v>1094.6651856842939</v>
      </c>
      <c r="AG294" s="306">
        <f t="shared" ca="1" si="143"/>
        <v>28.021796508641497</v>
      </c>
      <c r="AH294" s="304">
        <f t="shared" ca="1" si="144"/>
        <v>37.717601806974336</v>
      </c>
    </row>
    <row r="295" spans="1:34" x14ac:dyDescent="0.2">
      <c r="A295" s="347">
        <f t="shared" ca="1" si="122"/>
        <v>0.01</v>
      </c>
      <c r="B295" s="304">
        <f t="shared" ca="1" si="123"/>
        <v>6.909999999999938</v>
      </c>
      <c r="D295" s="306">
        <f t="shared" ca="1" si="124"/>
        <v>5.680347504938684</v>
      </c>
      <c r="E295" s="307">
        <f t="shared" ca="1" si="125"/>
        <v>27.081731049003643</v>
      </c>
      <c r="F295" s="304">
        <f t="shared" ca="1" si="126"/>
        <v>27.671040898156164</v>
      </c>
      <c r="G295" s="306">
        <f t="shared" ca="1" si="127"/>
        <v>52.596943958485014</v>
      </c>
      <c r="H295" s="307">
        <f t="shared" ca="1" si="128"/>
        <v>341.49936544184203</v>
      </c>
      <c r="I295" s="304">
        <f t="shared" ca="1" si="129"/>
        <v>345.52605561802829</v>
      </c>
      <c r="J295" s="306">
        <f t="shared" ca="1" si="130"/>
        <v>152.62084016856113</v>
      </c>
      <c r="K295" s="307">
        <f t="shared" ca="1" si="131"/>
        <v>1098.0788252521597</v>
      </c>
      <c r="L295" s="304">
        <f t="shared" ca="1" si="116"/>
        <v>1108.6343975003304</v>
      </c>
      <c r="M295" s="306">
        <f t="shared" ca="1" si="132"/>
        <v>1.4179794311287481</v>
      </c>
      <c r="N295" s="304">
        <f t="shared" ca="1" si="133"/>
        <v>81.244236840038653</v>
      </c>
      <c r="P295" s="310">
        <f t="shared" ca="1" si="134"/>
        <v>7</v>
      </c>
      <c r="Q295" s="304">
        <f t="shared" ca="1" si="135"/>
        <v>430.27659574469351</v>
      </c>
      <c r="R295" s="306">
        <f t="shared" ca="1" si="136"/>
        <v>0.21593577607731765</v>
      </c>
      <c r="S295" s="307">
        <f t="shared" ca="1" si="137"/>
        <v>5.7235932326745989</v>
      </c>
      <c r="T295" s="304">
        <f t="shared" ca="1" si="117"/>
        <v>56.148449612537817</v>
      </c>
      <c r="U295" s="311">
        <f t="shared" ca="1" si="118"/>
        <v>0</v>
      </c>
      <c r="V295" s="306">
        <f t="shared" ca="1" si="119"/>
        <v>1.097486346072051</v>
      </c>
      <c r="W295" s="304">
        <f t="shared" ca="1" si="120"/>
        <v>216.90761280298557</v>
      </c>
      <c r="Y295" s="314" t="str">
        <f t="shared" ca="1" si="138"/>
        <v/>
      </c>
      <c r="Z295" s="315" t="str">
        <f t="shared" ca="1" si="139"/>
        <v/>
      </c>
      <c r="AA295" s="316" t="str">
        <f t="shared" ca="1" si="140"/>
        <v/>
      </c>
      <c r="AC295" s="310" t="e">
        <f t="shared" ca="1" si="141"/>
        <v>#N/A</v>
      </c>
      <c r="AD295" s="323" t="e">
        <f t="shared" ca="1" si="142"/>
        <v>#N/A</v>
      </c>
      <c r="AE295" s="324">
        <f t="shared" ca="1" si="121"/>
        <v>1098.0788252521597</v>
      </c>
      <c r="AG295" s="306">
        <f t="shared" ca="1" si="143"/>
        <v>27.630740010067051</v>
      </c>
      <c r="AH295" s="304">
        <f t="shared" ca="1" si="144"/>
        <v>37.326480781998228</v>
      </c>
    </row>
    <row r="296" spans="1:34" x14ac:dyDescent="0.2">
      <c r="A296" s="347">
        <f t="shared" ca="1" si="122"/>
        <v>0.01</v>
      </c>
      <c r="B296" s="304">
        <f t="shared" ca="1" si="123"/>
        <v>6.9199999999999378</v>
      </c>
      <c r="D296" s="306">
        <f t="shared" ca="1" si="124"/>
        <v>5.6224792775811636</v>
      </c>
      <c r="E296" s="307">
        <f t="shared" ca="1" si="125"/>
        <v>26.695411930765339</v>
      </c>
      <c r="F296" s="304">
        <f t="shared" ca="1" si="126"/>
        <v>27.281079366111562</v>
      </c>
      <c r="G296" s="306">
        <f t="shared" ca="1" si="127"/>
        <v>52.653168751260829</v>
      </c>
      <c r="H296" s="307">
        <f t="shared" ca="1" si="128"/>
        <v>341.76631956114966</v>
      </c>
      <c r="I296" s="304">
        <f t="shared" ca="1" si="129"/>
        <v>345.79845772635048</v>
      </c>
      <c r="J296" s="306">
        <f t="shared" ca="1" si="130"/>
        <v>153.14709073210986</v>
      </c>
      <c r="K296" s="307">
        <f t="shared" ca="1" si="131"/>
        <v>1101.4951536771746</v>
      </c>
      <c r="L296" s="304">
        <f t="shared" ca="1" si="116"/>
        <v>1112.0906460239703</v>
      </c>
      <c r="M296" s="306">
        <f t="shared" ca="1" si="132"/>
        <v>1.4179362468506347</v>
      </c>
      <c r="N296" s="304">
        <f t="shared" ca="1" si="133"/>
        <v>81.24176256316143</v>
      </c>
      <c r="P296" s="310">
        <f t="shared" ca="1" si="134"/>
        <v>7</v>
      </c>
      <c r="Q296" s="304">
        <f t="shared" ca="1" si="135"/>
        <v>428.23404255320423</v>
      </c>
      <c r="R296" s="306">
        <f t="shared" ca="1" si="136"/>
        <v>0.21491071379657686</v>
      </c>
      <c r="S296" s="307">
        <f t="shared" ca="1" si="137"/>
        <v>5.7214441255366335</v>
      </c>
      <c r="T296" s="304">
        <f t="shared" ca="1" si="117"/>
        <v>56.127366871514376</v>
      </c>
      <c r="U296" s="311">
        <f t="shared" ca="1" si="118"/>
        <v>0</v>
      </c>
      <c r="V296" s="306">
        <f t="shared" ca="1" si="119"/>
        <v>1.0971103359332905</v>
      </c>
      <c r="W296" s="304">
        <f t="shared" ca="1" si="120"/>
        <v>217.17532218353296</v>
      </c>
      <c r="Y296" s="314" t="str">
        <f t="shared" ca="1" si="138"/>
        <v/>
      </c>
      <c r="Z296" s="315" t="str">
        <f t="shared" ca="1" si="139"/>
        <v/>
      </c>
      <c r="AA296" s="316" t="str">
        <f t="shared" ca="1" si="140"/>
        <v/>
      </c>
      <c r="AC296" s="310" t="e">
        <f t="shared" ca="1" si="141"/>
        <v>#N/A</v>
      </c>
      <c r="AD296" s="323" t="e">
        <f t="shared" ca="1" si="142"/>
        <v>#N/A</v>
      </c>
      <c r="AE296" s="324">
        <f t="shared" ca="1" si="121"/>
        <v>1101.4951536771746</v>
      </c>
      <c r="AG296" s="306">
        <f t="shared" ca="1" si="143"/>
        <v>27.240178588559473</v>
      </c>
      <c r="AH296" s="304">
        <f t="shared" ca="1" si="144"/>
        <v>36.93585484947782</v>
      </c>
    </row>
    <row r="297" spans="1:34" x14ac:dyDescent="0.2">
      <c r="A297" s="347">
        <f t="shared" ca="1" si="122"/>
        <v>0.01</v>
      </c>
      <c r="B297" s="304">
        <f t="shared" ca="1" si="123"/>
        <v>6.9299999999999375</v>
      </c>
      <c r="D297" s="306">
        <f t="shared" ca="1" si="124"/>
        <v>5.5646526789865733</v>
      </c>
      <c r="E297" s="307">
        <f t="shared" ca="1" si="125"/>
        <v>26.309589966516356</v>
      </c>
      <c r="F297" s="304">
        <f t="shared" ca="1" si="126"/>
        <v>26.891632223499759</v>
      </c>
      <c r="G297" s="306">
        <f t="shared" ca="1" si="127"/>
        <v>52.708815278050693</v>
      </c>
      <c r="H297" s="307">
        <f t="shared" ca="1" si="128"/>
        <v>342.02941546081485</v>
      </c>
      <c r="I297" s="304">
        <f t="shared" ca="1" si="129"/>
        <v>346.06695919790201</v>
      </c>
      <c r="J297" s="306">
        <f t="shared" ca="1" si="130"/>
        <v>153.67390065225641</v>
      </c>
      <c r="K297" s="307">
        <f t="shared" ca="1" si="131"/>
        <v>1104.9141323522845</v>
      </c>
      <c r="L297" s="304">
        <f t="shared" ca="1" si="116"/>
        <v>1115.5495989033752</v>
      </c>
      <c r="M297" s="306">
        <f t="shared" ca="1" si="132"/>
        <v>1.417893083978923</v>
      </c>
      <c r="N297" s="304">
        <f t="shared" ca="1" si="133"/>
        <v>81.239289512780687</v>
      </c>
      <c r="P297" s="310">
        <f t="shared" ca="1" si="134"/>
        <v>7</v>
      </c>
      <c r="Q297" s="304">
        <f t="shared" ca="1" si="135"/>
        <v>426.1914893617149</v>
      </c>
      <c r="R297" s="306">
        <f t="shared" ca="1" si="136"/>
        <v>0.21388565151583605</v>
      </c>
      <c r="S297" s="307">
        <f t="shared" ca="1" si="137"/>
        <v>5.7193052690214747</v>
      </c>
      <c r="T297" s="304">
        <f t="shared" ca="1" si="117"/>
        <v>56.106384689100672</v>
      </c>
      <c r="U297" s="311">
        <f t="shared" ca="1" si="118"/>
        <v>0</v>
      </c>
      <c r="V297" s="306">
        <f t="shared" ca="1" si="119"/>
        <v>1.0967341559749155</v>
      </c>
      <c r="W297" s="304">
        <f t="shared" ca="1" si="120"/>
        <v>217.43813123147288</v>
      </c>
      <c r="Y297" s="314" t="str">
        <f t="shared" ca="1" si="138"/>
        <v/>
      </c>
      <c r="Z297" s="315" t="str">
        <f t="shared" ca="1" si="139"/>
        <v/>
      </c>
      <c r="AA297" s="316" t="str">
        <f t="shared" ca="1" si="140"/>
        <v/>
      </c>
      <c r="AC297" s="310" t="e">
        <f t="shared" ca="1" si="141"/>
        <v>#N/A</v>
      </c>
      <c r="AD297" s="323" t="e">
        <f t="shared" ca="1" si="142"/>
        <v>#N/A</v>
      </c>
      <c r="AE297" s="324">
        <f t="shared" ca="1" si="121"/>
        <v>1104.9141323522845</v>
      </c>
      <c r="AG297" s="306">
        <f t="shared" ca="1" si="143"/>
        <v>26.850114918429167</v>
      </c>
      <c r="AH297" s="304">
        <f t="shared" ca="1" si="144"/>
        <v>36.54572668297925</v>
      </c>
    </row>
    <row r="298" spans="1:34" x14ac:dyDescent="0.2">
      <c r="A298" s="347">
        <f t="shared" ca="1" si="122"/>
        <v>0.01</v>
      </c>
      <c r="B298" s="304">
        <f t="shared" ca="1" si="123"/>
        <v>6.9399999999999373</v>
      </c>
      <c r="D298" s="306">
        <f t="shared" ca="1" si="124"/>
        <v>5.5068682177290871</v>
      </c>
      <c r="E298" s="307">
        <f t="shared" ca="1" si="125"/>
        <v>25.924267742382</v>
      </c>
      <c r="F298" s="304">
        <f t="shared" ca="1" si="126"/>
        <v>26.502702797000584</v>
      </c>
      <c r="G298" s="306">
        <f t="shared" ca="1" si="127"/>
        <v>52.763883960227986</v>
      </c>
      <c r="H298" s="307">
        <f t="shared" ca="1" si="128"/>
        <v>342.28865813823865</v>
      </c>
      <c r="I298" s="304">
        <f t="shared" ca="1" si="129"/>
        <v>346.33156503651873</v>
      </c>
      <c r="J298" s="306">
        <f t="shared" ca="1" si="130"/>
        <v>154.20126414844779</v>
      </c>
      <c r="K298" s="307">
        <f t="shared" ca="1" si="131"/>
        <v>1108.3357227202798</v>
      </c>
      <c r="L298" s="304">
        <f t="shared" ca="1" si="116"/>
        <v>1119.0112171568544</v>
      </c>
      <c r="M298" s="306">
        <f t="shared" ca="1" si="132"/>
        <v>1.4178499420012276</v>
      </c>
      <c r="N298" s="304">
        <f t="shared" ca="1" si="133"/>
        <v>81.2368176595389</v>
      </c>
      <c r="P298" s="310">
        <f t="shared" ca="1" si="134"/>
        <v>7</v>
      </c>
      <c r="Q298" s="304">
        <f t="shared" ca="1" si="135"/>
        <v>424.14893617022557</v>
      </c>
      <c r="R298" s="306">
        <f t="shared" ca="1" si="136"/>
        <v>0.21286058923509524</v>
      </c>
      <c r="S298" s="307">
        <f t="shared" ca="1" si="137"/>
        <v>5.7171766631291234</v>
      </c>
      <c r="T298" s="304">
        <f t="shared" ca="1" si="117"/>
        <v>56.085503065296706</v>
      </c>
      <c r="U298" s="311">
        <f t="shared" ca="1" si="118"/>
        <v>0</v>
      </c>
      <c r="V298" s="306">
        <f t="shared" ca="1" si="119"/>
        <v>1.0963578106614111</v>
      </c>
      <c r="W298" s="304">
        <f t="shared" ca="1" si="120"/>
        <v>217.69604032864513</v>
      </c>
      <c r="Y298" s="314" t="str">
        <f t="shared" ca="1" si="138"/>
        <v/>
      </c>
      <c r="Z298" s="315" t="str">
        <f t="shared" ca="1" si="139"/>
        <v/>
      </c>
      <c r="AA298" s="316" t="str">
        <f t="shared" ca="1" si="140"/>
        <v/>
      </c>
      <c r="AC298" s="310" t="e">
        <f t="shared" ca="1" si="141"/>
        <v>#N/A</v>
      </c>
      <c r="AD298" s="323" t="e">
        <f t="shared" ca="1" si="142"/>
        <v>#N/A</v>
      </c>
      <c r="AE298" s="324">
        <f t="shared" ca="1" si="121"/>
        <v>1108.3357227202798</v>
      </c>
      <c r="AG298" s="306">
        <f t="shared" ca="1" si="143"/>
        <v>26.46055163153796</v>
      </c>
      <c r="AH298" s="304">
        <f t="shared" ca="1" si="144"/>
        <v>36.156098913622827</v>
      </c>
    </row>
    <row r="299" spans="1:34" x14ac:dyDescent="0.2">
      <c r="A299" s="347">
        <f t="shared" ca="1" si="122"/>
        <v>0.01</v>
      </c>
      <c r="B299" s="304">
        <f t="shared" ca="1" si="123"/>
        <v>6.9499999999999371</v>
      </c>
      <c r="D299" s="306">
        <f t="shared" ca="1" si="124"/>
        <v>5.4491263954472577</v>
      </c>
      <c r="E299" s="307">
        <f t="shared" ca="1" si="125"/>
        <v>25.539447802766361</v>
      </c>
      <c r="F299" s="304">
        <f t="shared" ca="1" si="126"/>
        <v>26.11429441022268</v>
      </c>
      <c r="G299" s="306">
        <f t="shared" ca="1" si="127"/>
        <v>52.818375224182461</v>
      </c>
      <c r="H299" s="307">
        <f t="shared" ca="1" si="128"/>
        <v>342.5440526162663</v>
      </c>
      <c r="I299" s="304">
        <f t="shared" ca="1" si="129"/>
        <v>346.59228027193268</v>
      </c>
      <c r="J299" s="306">
        <f t="shared" ca="1" si="130"/>
        <v>154.72917544436984</v>
      </c>
      <c r="K299" s="307">
        <f t="shared" ca="1" si="131"/>
        <v>1111.7598862740524</v>
      </c>
      <c r="L299" s="304">
        <f t="shared" ca="1" si="116"/>
        <v>1122.4754618528589</v>
      </c>
      <c r="M299" s="306">
        <f t="shared" ca="1" si="132"/>
        <v>1.4178068204075229</v>
      </c>
      <c r="N299" s="304">
        <f t="shared" ca="1" si="133"/>
        <v>81.234346974213736</v>
      </c>
      <c r="P299" s="310">
        <f t="shared" ca="1" si="134"/>
        <v>7</v>
      </c>
      <c r="Q299" s="304">
        <f t="shared" ca="1" si="135"/>
        <v>422.10638297873629</v>
      </c>
      <c r="R299" s="306">
        <f t="shared" ca="1" si="136"/>
        <v>0.21183552695435445</v>
      </c>
      <c r="S299" s="307">
        <f t="shared" ca="1" si="137"/>
        <v>5.7150583078595796</v>
      </c>
      <c r="T299" s="304">
        <f t="shared" ca="1" si="117"/>
        <v>56.064722000102478</v>
      </c>
      <c r="U299" s="311">
        <f t="shared" ca="1" si="118"/>
        <v>0</v>
      </c>
      <c r="V299" s="306">
        <f t="shared" ca="1" si="119"/>
        <v>1.0959813044462328</v>
      </c>
      <c r="W299" s="304">
        <f t="shared" ca="1" si="120"/>
        <v>217.94905008850012</v>
      </c>
      <c r="Y299" s="314" t="str">
        <f t="shared" ca="1" si="138"/>
        <v/>
      </c>
      <c r="Z299" s="315" t="str">
        <f t="shared" ca="1" si="139"/>
        <v/>
      </c>
      <c r="AA299" s="316" t="str">
        <f t="shared" ca="1" si="140"/>
        <v/>
      </c>
      <c r="AC299" s="310" t="e">
        <f t="shared" ca="1" si="141"/>
        <v>#N/A</v>
      </c>
      <c r="AD299" s="323" t="e">
        <f t="shared" ca="1" si="142"/>
        <v>#N/A</v>
      </c>
      <c r="AE299" s="324">
        <f t="shared" ca="1" si="121"/>
        <v>1111.7598862740524</v>
      </c>
      <c r="AG299" s="306">
        <f t="shared" ca="1" si="143"/>
        <v>26.071491317467355</v>
      </c>
      <c r="AH299" s="304">
        <f t="shared" ca="1" si="144"/>
        <v>35.76697413025127</v>
      </c>
    </row>
    <row r="300" spans="1:34" x14ac:dyDescent="0.2">
      <c r="A300" s="347">
        <f t="shared" ca="1" si="122"/>
        <v>0.01</v>
      </c>
      <c r="B300" s="304">
        <f t="shared" ca="1" si="123"/>
        <v>6.9599999999999369</v>
      </c>
      <c r="D300" s="306">
        <f t="shared" ca="1" si="124"/>
        <v>5.3914277068689875</v>
      </c>
      <c r="E300" s="307">
        <f t="shared" ca="1" si="125"/>
        <v>25.155132650520883</v>
      </c>
      <c r="F300" s="304">
        <f t="shared" ca="1" si="126"/>
        <v>25.726410386676495</v>
      </c>
      <c r="G300" s="306">
        <f t="shared" ca="1" si="127"/>
        <v>52.872289501251153</v>
      </c>
      <c r="H300" s="307">
        <f t="shared" ca="1" si="128"/>
        <v>342.79560394277149</v>
      </c>
      <c r="I300" s="304">
        <f t="shared" ca="1" si="129"/>
        <v>346.84910995935041</v>
      </c>
      <c r="J300" s="306">
        <f t="shared" ca="1" si="130"/>
        <v>155.25762876799701</v>
      </c>
      <c r="K300" s="307">
        <f t="shared" ca="1" si="131"/>
        <v>1115.1865845568475</v>
      </c>
      <c r="L300" s="304">
        <f t="shared" ca="1" si="116"/>
        <v>1125.9422941102391</v>
      </c>
      <c r="M300" s="306">
        <f t="shared" ca="1" si="132"/>
        <v>1.417763718690106</v>
      </c>
      <c r="N300" s="304">
        <f t="shared" ca="1" si="133"/>
        <v>81.231877427715986</v>
      </c>
      <c r="P300" s="310">
        <f t="shared" ca="1" si="134"/>
        <v>7</v>
      </c>
      <c r="Q300" s="304">
        <f t="shared" ca="1" si="135"/>
        <v>420.06382978724696</v>
      </c>
      <c r="R300" s="306">
        <f t="shared" ca="1" si="136"/>
        <v>0.21081046467361361</v>
      </c>
      <c r="S300" s="307">
        <f t="shared" ca="1" si="137"/>
        <v>5.7129502032128432</v>
      </c>
      <c r="T300" s="304">
        <f t="shared" ca="1" si="117"/>
        <v>56.044041493517994</v>
      </c>
      <c r="U300" s="311">
        <f t="shared" ca="1" si="118"/>
        <v>0</v>
      </c>
      <c r="V300" s="306">
        <f t="shared" ca="1" si="119"/>
        <v>1.0956046417717877</v>
      </c>
      <c r="W300" s="304">
        <f t="shared" ca="1" si="120"/>
        <v>218.19716135440811</v>
      </c>
      <c r="Y300" s="314" t="str">
        <f t="shared" ca="1" si="138"/>
        <v/>
      </c>
      <c r="Z300" s="315" t="str">
        <f t="shared" ca="1" si="139"/>
        <v/>
      </c>
      <c r="AA300" s="316" t="str">
        <f t="shared" ca="1" si="140"/>
        <v/>
      </c>
      <c r="AC300" s="310" t="e">
        <f t="shared" ca="1" si="141"/>
        <v>#N/A</v>
      </c>
      <c r="AD300" s="323" t="e">
        <f t="shared" ca="1" si="142"/>
        <v>#N/A</v>
      </c>
      <c r="AE300" s="324">
        <f t="shared" ca="1" si="121"/>
        <v>1115.1865845568475</v>
      </c>
      <c r="AG300" s="306">
        <f t="shared" ca="1" si="143"/>
        <v>25.682936523688912</v>
      </c>
      <c r="AH300" s="304">
        <f t="shared" ca="1" si="144"/>
        <v>35.378354879599989</v>
      </c>
    </row>
    <row r="301" spans="1:34" x14ac:dyDescent="0.2">
      <c r="A301" s="347">
        <f t="shared" ca="1" si="122"/>
        <v>0.01</v>
      </c>
      <c r="B301" s="304">
        <f t="shared" ca="1" si="123"/>
        <v>6.9699999999999367</v>
      </c>
      <c r="D301" s="306">
        <f t="shared" ca="1" si="124"/>
        <v>5.3337726398366936</v>
      </c>
      <c r="E301" s="307">
        <f t="shared" ca="1" si="125"/>
        <v>24.771324747115081</v>
      </c>
      <c r="F301" s="304">
        <f t="shared" ca="1" si="126"/>
        <v>25.339054052993109</v>
      </c>
      <c r="G301" s="306">
        <f t="shared" ca="1" si="127"/>
        <v>52.925627227649521</v>
      </c>
      <c r="H301" s="307">
        <f t="shared" ca="1" si="128"/>
        <v>343.04331719024265</v>
      </c>
      <c r="I301" s="304">
        <f t="shared" ca="1" si="129"/>
        <v>347.10205917903386</v>
      </c>
      <c r="J301" s="306">
        <f t="shared" ca="1" si="130"/>
        <v>155.78661835164152</v>
      </c>
      <c r="K301" s="307">
        <f t="shared" ca="1" si="131"/>
        <v>1118.6157791625126</v>
      </c>
      <c r="L301" s="304">
        <f t="shared" ca="1" si="116"/>
        <v>1129.4116750984981</v>
      </c>
      <c r="M301" s="306">
        <f t="shared" ca="1" si="132"/>
        <v>1.4177206363435562</v>
      </c>
      <c r="N301" s="304">
        <f t="shared" ca="1" si="133"/>
        <v>81.229408991087155</v>
      </c>
      <c r="P301" s="310">
        <f t="shared" ca="1" si="134"/>
        <v>7</v>
      </c>
      <c r="Q301" s="304">
        <f t="shared" ca="1" si="135"/>
        <v>418.02127659575763</v>
      </c>
      <c r="R301" s="306">
        <f t="shared" ca="1" si="136"/>
        <v>0.2097854023928728</v>
      </c>
      <c r="S301" s="307">
        <f t="shared" ca="1" si="137"/>
        <v>5.7108523491889143</v>
      </c>
      <c r="T301" s="304">
        <f t="shared" ca="1" si="117"/>
        <v>56.023461545543249</v>
      </c>
      <c r="U301" s="311">
        <f t="shared" ca="1" si="118"/>
        <v>0</v>
      </c>
      <c r="V301" s="306">
        <f t="shared" ca="1" si="119"/>
        <v>1.0952278270694107</v>
      </c>
      <c r="W301" s="304">
        <f t="shared" ca="1" si="120"/>
        <v>218.44037519796552</v>
      </c>
      <c r="Y301" s="314" t="str">
        <f t="shared" ca="1" si="138"/>
        <v/>
      </c>
      <c r="Z301" s="315" t="str">
        <f t="shared" ca="1" si="139"/>
        <v/>
      </c>
      <c r="AA301" s="316" t="str">
        <f t="shared" ca="1" si="140"/>
        <v/>
      </c>
      <c r="AC301" s="310" t="e">
        <f t="shared" ca="1" si="141"/>
        <v>#N/A</v>
      </c>
      <c r="AD301" s="323" t="e">
        <f t="shared" ca="1" si="142"/>
        <v>#N/A</v>
      </c>
      <c r="AE301" s="324">
        <f t="shared" ca="1" si="121"/>
        <v>1118.6157791625126</v>
      </c>
      <c r="AG301" s="306">
        <f t="shared" ca="1" si="143"/>
        <v>25.294889755736612</v>
      </c>
      <c r="AH301" s="304">
        <f t="shared" ca="1" si="144"/>
        <v>34.990243666469439</v>
      </c>
    </row>
    <row r="302" spans="1:34" x14ac:dyDescent="0.2">
      <c r="A302" s="347">
        <f t="shared" ca="1" si="122"/>
        <v>0.01</v>
      </c>
      <c r="B302" s="304">
        <f t="shared" ca="1" si="123"/>
        <v>6.9799999999999365</v>
      </c>
      <c r="D302" s="306">
        <f t="shared" ca="1" si="124"/>
        <v>5.1919417647021149</v>
      </c>
      <c r="E302" s="307">
        <f t="shared" ca="1" si="125"/>
        <v>23.842145830243652</v>
      </c>
      <c r="F302" s="304">
        <f t="shared" ca="1" si="126"/>
        <v>24.40090525121277</v>
      </c>
      <c r="G302" s="306">
        <f t="shared" ca="1" si="127"/>
        <v>52.977546645296542</v>
      </c>
      <c r="H302" s="307">
        <f t="shared" ca="1" si="128"/>
        <v>343.28173864854506</v>
      </c>
      <c r="I302" s="304">
        <f t="shared" ca="1" si="129"/>
        <v>347.3456096427916</v>
      </c>
      <c r="J302" s="306">
        <f t="shared" ca="1" si="130"/>
        <v>156.31613422100625</v>
      </c>
      <c r="K302" s="307">
        <f t="shared" ca="1" si="131"/>
        <v>1122.0474044417065</v>
      </c>
      <c r="L302" s="304">
        <f t="shared" ca="1" si="116"/>
        <v>1132.8835384240385</v>
      </c>
      <c r="M302" s="306">
        <f t="shared" ca="1" si="132"/>
        <v>1.4176775721799146</v>
      </c>
      <c r="N302" s="304">
        <f t="shared" ca="1" si="133"/>
        <v>81.226941596262236</v>
      </c>
      <c r="P302" s="310">
        <f t="shared" ca="1" si="134"/>
        <v>8</v>
      </c>
      <c r="Q302" s="304">
        <f t="shared" ca="1" si="135"/>
        <v>412.82608695657484</v>
      </c>
      <c r="R302" s="306">
        <f t="shared" ca="1" si="136"/>
        <v>0.20717817876579125</v>
      </c>
      <c r="S302" s="307">
        <f t="shared" ca="1" si="137"/>
        <v>5.7087805674012566</v>
      </c>
      <c r="T302" s="304">
        <f t="shared" ca="1" si="117"/>
        <v>56.003137366206332</v>
      </c>
      <c r="U302" s="311">
        <f t="shared" ca="1" si="118"/>
        <v>0</v>
      </c>
      <c r="V302" s="306">
        <f t="shared" ca="1" si="119"/>
        <v>1.0948508677570674</v>
      </c>
      <c r="W302" s="304">
        <f t="shared" ca="1" si="120"/>
        <v>218.6717389466391</v>
      </c>
      <c r="Y302" s="314" t="str">
        <f t="shared" ca="1" si="138"/>
        <v/>
      </c>
      <c r="Z302" s="315" t="str">
        <f t="shared" ca="1" si="139"/>
        <v/>
      </c>
      <c r="AA302" s="316" t="str">
        <f t="shared" ca="1" si="140"/>
        <v/>
      </c>
      <c r="AC302" s="310" t="e">
        <f t="shared" ca="1" si="141"/>
        <v>#N/A</v>
      </c>
      <c r="AD302" s="323" t="e">
        <f t="shared" ca="1" si="142"/>
        <v>#N/A</v>
      </c>
      <c r="AE302" s="324">
        <f t="shared" ca="1" si="121"/>
        <v>1122.0474044417065</v>
      </c>
      <c r="AG302" s="306">
        <f t="shared" ca="1" si="143"/>
        <v>24.355014167767326</v>
      </c>
      <c r="AH302" s="304">
        <f t="shared" ca="1" si="144"/>
        <v>34.050303644285513</v>
      </c>
    </row>
    <row r="303" spans="1:34" x14ac:dyDescent="0.2">
      <c r="A303" s="347">
        <f t="shared" ca="1" si="122"/>
        <v>0.01</v>
      </c>
      <c r="B303" s="304">
        <f t="shared" ca="1" si="123"/>
        <v>6.9899999999999363</v>
      </c>
      <c r="D303" s="306">
        <f t="shared" ca="1" si="124"/>
        <v>4.9659470370098511</v>
      </c>
      <c r="E303" s="307">
        <f t="shared" ca="1" si="125"/>
        <v>22.368140379263508</v>
      </c>
      <c r="F303" s="304">
        <f t="shared" ca="1" si="126"/>
        <v>22.912754832207007</v>
      </c>
      <c r="G303" s="306">
        <f t="shared" ca="1" si="127"/>
        <v>53.027206115666637</v>
      </c>
      <c r="H303" s="307">
        <f t="shared" ca="1" si="128"/>
        <v>343.50542005233768</v>
      </c>
      <c r="I303" s="304">
        <f t="shared" ca="1" si="129"/>
        <v>347.57424846177304</v>
      </c>
      <c r="J303" s="306">
        <f t="shared" ca="1" si="130"/>
        <v>156.84615798481107</v>
      </c>
      <c r="K303" s="307">
        <f t="shared" ca="1" si="131"/>
        <v>1125.4813402352108</v>
      </c>
      <c r="L303" s="304">
        <f t="shared" ca="1" si="116"/>
        <v>1136.3577625432242</v>
      </c>
      <c r="M303" s="306">
        <f t="shared" ca="1" si="132"/>
        <v>1.4176345243320907</v>
      </c>
      <c r="N303" s="304">
        <f t="shared" ca="1" si="133"/>
        <v>81.2244751362648</v>
      </c>
      <c r="P303" s="310">
        <f t="shared" ca="1" si="134"/>
        <v>8</v>
      </c>
      <c r="Q303" s="304">
        <f t="shared" ca="1" si="135"/>
        <v>404.47826086961851</v>
      </c>
      <c r="R303" s="306">
        <f t="shared" ca="1" si="136"/>
        <v>0.20298879379232881</v>
      </c>
      <c r="S303" s="307">
        <f t="shared" ca="1" si="137"/>
        <v>5.7067506794633331</v>
      </c>
      <c r="T303" s="304">
        <f t="shared" ca="1" si="117"/>
        <v>55.983224165535304</v>
      </c>
      <c r="U303" s="311">
        <f t="shared" ca="1" si="118"/>
        <v>0</v>
      </c>
      <c r="V303" s="306">
        <f t="shared" ca="1" si="119"/>
        <v>1.0944737772282367</v>
      </c>
      <c r="W303" s="304">
        <f t="shared" ca="1" si="120"/>
        <v>218.88429873700923</v>
      </c>
      <c r="Y303" s="314" t="str">
        <f t="shared" ca="1" si="138"/>
        <v/>
      </c>
      <c r="Z303" s="315" t="str">
        <f t="shared" ca="1" si="139"/>
        <v/>
      </c>
      <c r="AA303" s="316" t="str">
        <f t="shared" ca="1" si="140"/>
        <v/>
      </c>
      <c r="AC303" s="310" t="e">
        <f t="shared" ca="1" si="141"/>
        <v>#N/A</v>
      </c>
      <c r="AD303" s="323" t="e">
        <f t="shared" ca="1" si="142"/>
        <v>#N/A</v>
      </c>
      <c r="AE303" s="324">
        <f t="shared" ca="1" si="121"/>
        <v>1125.4813402352108</v>
      </c>
      <c r="AG303" s="306">
        <f t="shared" ca="1" si="143"/>
        <v>22.86384969335505</v>
      </c>
      <c r="AH303" s="304">
        <f t="shared" ca="1" si="144"/>
        <v>32.559074744869143</v>
      </c>
    </row>
    <row r="304" spans="1:34" x14ac:dyDescent="0.2">
      <c r="A304" s="347">
        <f t="shared" ca="1" si="122"/>
        <v>0.01</v>
      </c>
      <c r="B304" s="304">
        <f t="shared" ca="1" si="123"/>
        <v>6.9999999999999361</v>
      </c>
      <c r="D304" s="306">
        <f t="shared" ca="1" si="124"/>
        <v>4.7401310304751032</v>
      </c>
      <c r="E304" s="307">
        <f t="shared" ca="1" si="125"/>
        <v>20.896137848839217</v>
      </c>
      <c r="F304" s="304">
        <f t="shared" ca="1" si="126"/>
        <v>21.427025439471617</v>
      </c>
      <c r="G304" s="306">
        <f t="shared" ca="1" si="127"/>
        <v>53.074607425971386</v>
      </c>
      <c r="H304" s="307">
        <f t="shared" ca="1" si="128"/>
        <v>343.71438143082605</v>
      </c>
      <c r="I304" s="304">
        <f t="shared" ca="1" si="129"/>
        <v>347.78799570398684</v>
      </c>
      <c r="J304" s="306">
        <f t="shared" ca="1" si="130"/>
        <v>157.37666705251925</v>
      </c>
      <c r="K304" s="307">
        <f t="shared" ca="1" si="131"/>
        <v>1128.9174392426266</v>
      </c>
      <c r="L304" s="304">
        <f t="shared" ca="1" si="116"/>
        <v>1139.8341984511121</v>
      </c>
      <c r="M304" s="306">
        <f t="shared" ca="1" si="132"/>
        <v>1.4175914909407374</v>
      </c>
      <c r="N304" s="304">
        <f t="shared" ca="1" si="133"/>
        <v>81.222009504562124</v>
      </c>
      <c r="P304" s="310">
        <f t="shared" ca="1" si="134"/>
        <v>8</v>
      </c>
      <c r="Q304" s="304">
        <f t="shared" ca="1" si="135"/>
        <v>396.13043478266218</v>
      </c>
      <c r="R304" s="306">
        <f t="shared" ca="1" si="136"/>
        <v>0.19879940881886637</v>
      </c>
      <c r="S304" s="307">
        <f t="shared" ca="1" si="137"/>
        <v>5.7047626853751447</v>
      </c>
      <c r="T304" s="304">
        <f t="shared" ca="1" si="117"/>
        <v>55.963721943530174</v>
      </c>
      <c r="U304" s="311">
        <f t="shared" ca="1" si="118"/>
        <v>0</v>
      </c>
      <c r="V304" s="306">
        <f t="shared" ca="1" si="119"/>
        <v>1.094096571838203</v>
      </c>
      <c r="W304" s="304">
        <f t="shared" ca="1" si="120"/>
        <v>219.07806516303214</v>
      </c>
      <c r="Y304" s="314" t="str">
        <f t="shared" ca="1" si="138"/>
        <v/>
      </c>
      <c r="Z304" s="315" t="str">
        <f t="shared" ca="1" si="139"/>
        <v/>
      </c>
      <c r="AA304" s="316" t="str">
        <f t="shared" ca="1" si="140"/>
        <v/>
      </c>
      <c r="AC304" s="310">
        <f t="shared" ca="1" si="141"/>
        <v>6.9999999999999361</v>
      </c>
      <c r="AD304" s="323">
        <f t="shared" ca="1" si="142"/>
        <v>157.37666705251925</v>
      </c>
      <c r="AE304" s="324">
        <f t="shared" ca="1" si="121"/>
        <v>1128.9174392426266</v>
      </c>
      <c r="AG304" s="306">
        <f t="shared" ca="1" si="143"/>
        <v>21.374692018423296</v>
      </c>
      <c r="AH304" s="304">
        <f t="shared" ca="1" si="144"/>
        <v>31.069852651372344</v>
      </c>
    </row>
    <row r="305" spans="1:34" x14ac:dyDescent="0.2">
      <c r="A305" s="347">
        <f t="shared" ca="1" si="122"/>
        <v>0.01</v>
      </c>
      <c r="B305" s="304">
        <f t="shared" ca="1" si="123"/>
        <v>7.0099999999999358</v>
      </c>
      <c r="D305" s="306">
        <f t="shared" ca="1" si="124"/>
        <v>4.5144991742566836</v>
      </c>
      <c r="E305" s="307">
        <f t="shared" ca="1" si="125"/>
        <v>19.426170862194773</v>
      </c>
      <c r="F305" s="304">
        <f t="shared" ca="1" si="126"/>
        <v>19.943841584848929</v>
      </c>
      <c r="G305" s="306">
        <f t="shared" ca="1" si="127"/>
        <v>53.119752417713954</v>
      </c>
      <c r="H305" s="307">
        <f t="shared" ca="1" si="128"/>
        <v>343.90864313944797</v>
      </c>
      <c r="I305" s="304">
        <f t="shared" ca="1" si="129"/>
        <v>347.98687176808181</v>
      </c>
      <c r="J305" s="306">
        <f t="shared" ca="1" si="130"/>
        <v>157.90763885173769</v>
      </c>
      <c r="K305" s="307">
        <f t="shared" ca="1" si="131"/>
        <v>1132.3555543654779</v>
      </c>
      <c r="L305" s="304">
        <f t="shared" ca="1" si="116"/>
        <v>1143.3126973449039</v>
      </c>
      <c r="M305" s="306">
        <f t="shared" ca="1" si="132"/>
        <v>1.4175484701537933</v>
      </c>
      <c r="N305" s="304">
        <f t="shared" ca="1" si="133"/>
        <v>81.219544595038897</v>
      </c>
      <c r="P305" s="310">
        <f t="shared" ca="1" si="134"/>
        <v>8</v>
      </c>
      <c r="Q305" s="304">
        <f t="shared" ca="1" si="135"/>
        <v>387.78260869570579</v>
      </c>
      <c r="R305" s="306">
        <f t="shared" ca="1" si="136"/>
        <v>0.19461002384540391</v>
      </c>
      <c r="S305" s="307">
        <f t="shared" ca="1" si="137"/>
        <v>5.7028165851366905</v>
      </c>
      <c r="T305" s="304">
        <f t="shared" ca="1" si="117"/>
        <v>55.944630700190935</v>
      </c>
      <c r="U305" s="311">
        <f t="shared" ca="1" si="118"/>
        <v>0</v>
      </c>
      <c r="V305" s="306">
        <f t="shared" ca="1" si="119"/>
        <v>1.0937192678990151</v>
      </c>
      <c r="W305" s="304">
        <f t="shared" ca="1" si="120"/>
        <v>219.25305174460598</v>
      </c>
      <c r="Y305" s="314" t="str">
        <f t="shared" ca="1" si="138"/>
        <v/>
      </c>
      <c r="Z305" s="315" t="str">
        <f t="shared" ca="1" si="139"/>
        <v/>
      </c>
      <c r="AA305" s="316" t="str">
        <f t="shared" ca="1" si="140"/>
        <v/>
      </c>
      <c r="AC305" s="310" t="e">
        <f t="shared" ca="1" si="141"/>
        <v>#N/A</v>
      </c>
      <c r="AD305" s="323" t="e">
        <f t="shared" ca="1" si="142"/>
        <v>#N/A</v>
      </c>
      <c r="AE305" s="324">
        <f t="shared" ca="1" si="121"/>
        <v>1132.3555543654779</v>
      </c>
      <c r="AG305" s="306">
        <f t="shared" ca="1" si="143"/>
        <v>19.887574207001506</v>
      </c>
      <c r="AH305" s="304">
        <f t="shared" ca="1" si="144"/>
        <v>29.582670425061547</v>
      </c>
    </row>
    <row r="306" spans="1:34" x14ac:dyDescent="0.2">
      <c r="A306" s="347">
        <f t="shared" ca="1" si="122"/>
        <v>0.01</v>
      </c>
      <c r="B306" s="304">
        <f t="shared" ca="1" si="123"/>
        <v>7.0199999999999356</v>
      </c>
      <c r="D306" s="306">
        <f t="shared" ca="1" si="124"/>
        <v>4.2890568067070234</v>
      </c>
      <c r="E306" s="307">
        <f t="shared" ca="1" si="125"/>
        <v>17.958271492371267</v>
      </c>
      <c r="F306" s="304">
        <f t="shared" ca="1" si="126"/>
        <v>18.463356230243576</v>
      </c>
      <c r="G306" s="306">
        <f t="shared" ca="1" si="127"/>
        <v>53.162642985781027</v>
      </c>
      <c r="H306" s="307">
        <f t="shared" ca="1" si="128"/>
        <v>344.08822585437167</v>
      </c>
      <c r="I306" s="304">
        <f t="shared" ca="1" si="129"/>
        <v>348.1708973777715</v>
      </c>
      <c r="J306" s="306">
        <f t="shared" ca="1" si="130"/>
        <v>158.43905082875517</v>
      </c>
      <c r="K306" s="307">
        <f t="shared" ca="1" si="131"/>
        <v>1135.7955387104471</v>
      </c>
      <c r="L306" s="304">
        <f t="shared" ca="1" si="116"/>
        <v>1146.7931106272272</v>
      </c>
      <c r="M306" s="306">
        <f t="shared" ca="1" si="132"/>
        <v>1.4175054601260302</v>
      </c>
      <c r="N306" s="304">
        <f t="shared" ca="1" si="133"/>
        <v>81.217080301971336</v>
      </c>
      <c r="P306" s="310">
        <f t="shared" ca="1" si="134"/>
        <v>8</v>
      </c>
      <c r="Q306" s="304">
        <f t="shared" ca="1" si="135"/>
        <v>379.43478260874946</v>
      </c>
      <c r="R306" s="306">
        <f t="shared" ca="1" si="136"/>
        <v>0.19042063887194147</v>
      </c>
      <c r="S306" s="307">
        <f t="shared" ca="1" si="137"/>
        <v>5.7009123787479714</v>
      </c>
      <c r="T306" s="304">
        <f t="shared" ca="1" si="117"/>
        <v>55.925950435517599</v>
      </c>
      <c r="U306" s="311">
        <f t="shared" ca="1" si="118"/>
        <v>0</v>
      </c>
      <c r="V306" s="306">
        <f t="shared" ca="1" si="119"/>
        <v>1.0933418816791614</v>
      </c>
      <c r="W306" s="304">
        <f t="shared" ca="1" si="120"/>
        <v>219.40927490297156</v>
      </c>
      <c r="Y306" s="314" t="str">
        <f t="shared" ca="1" si="138"/>
        <v/>
      </c>
      <c r="Z306" s="315" t="str">
        <f t="shared" ca="1" si="139"/>
        <v/>
      </c>
      <c r="AA306" s="316" t="str">
        <f t="shared" ca="1" si="140"/>
        <v/>
      </c>
      <c r="AC306" s="310" t="e">
        <f t="shared" ca="1" si="141"/>
        <v>#N/A</v>
      </c>
      <c r="AD306" s="323" t="e">
        <f t="shared" ca="1" si="142"/>
        <v>#N/A</v>
      </c>
      <c r="AE306" s="324">
        <f t="shared" ca="1" si="121"/>
        <v>1135.7955387104471</v>
      </c>
      <c r="AG306" s="306">
        <f t="shared" ca="1" si="143"/>
        <v>18.402528765559008</v>
      </c>
      <c r="AH306" s="304">
        <f t="shared" ca="1" si="144"/>
        <v>28.097560569650856</v>
      </c>
    </row>
    <row r="307" spans="1:34" x14ac:dyDescent="0.2">
      <c r="A307" s="347">
        <f t="shared" ca="1" si="122"/>
        <v>0.01</v>
      </c>
      <c r="B307" s="304">
        <f t="shared" ca="1" si="123"/>
        <v>7.0299999999999354</v>
      </c>
      <c r="D307" s="306">
        <f t="shared" ca="1" si="124"/>
        <v>4.0638091755014729</v>
      </c>
      <c r="E307" s="307">
        <f t="shared" ca="1" si="125"/>
        <v>16.492471263195341</v>
      </c>
      <c r="F307" s="304">
        <f t="shared" ca="1" si="126"/>
        <v>16.985763255803789</v>
      </c>
      <c r="G307" s="306">
        <f t="shared" ca="1" si="127"/>
        <v>53.20328107753604</v>
      </c>
      <c r="H307" s="307">
        <f t="shared" ca="1" si="128"/>
        <v>344.25315056700362</v>
      </c>
      <c r="I307" s="304">
        <f t="shared" ca="1" si="129"/>
        <v>348.34009357626832</v>
      </c>
      <c r="J307" s="306">
        <f t="shared" ca="1" si="130"/>
        <v>158.97088044907176</v>
      </c>
      <c r="K307" s="307">
        <f t="shared" ca="1" si="131"/>
        <v>1139.237245592554</v>
      </c>
      <c r="L307" s="304">
        <f t="shared" ca="1" si="116"/>
        <v>1150.27528990936</v>
      </c>
      <c r="M307" s="306">
        <f t="shared" ca="1" si="132"/>
        <v>1.4174624590186045</v>
      </c>
      <c r="N307" s="304">
        <f t="shared" ca="1" si="133"/>
        <v>81.214616520001442</v>
      </c>
      <c r="P307" s="310">
        <f t="shared" ca="1" si="134"/>
        <v>8</v>
      </c>
      <c r="Q307" s="304">
        <f t="shared" ca="1" si="135"/>
        <v>371.08695652179313</v>
      </c>
      <c r="R307" s="306">
        <f t="shared" ca="1" si="136"/>
        <v>0.18623125389847903</v>
      </c>
      <c r="S307" s="307">
        <f t="shared" ca="1" si="137"/>
        <v>5.6990500662089865</v>
      </c>
      <c r="T307" s="304">
        <f t="shared" ca="1" si="117"/>
        <v>55.907681149510161</v>
      </c>
      <c r="U307" s="311">
        <f t="shared" ca="1" si="118"/>
        <v>0</v>
      </c>
      <c r="V307" s="306">
        <f t="shared" ca="1" si="119"/>
        <v>1.0929644294032559</v>
      </c>
      <c r="W307" s="304">
        <f t="shared" ca="1" si="120"/>
        <v>219.54675393589486</v>
      </c>
      <c r="Y307" s="314" t="str">
        <f t="shared" ca="1" si="138"/>
        <v/>
      </c>
      <c r="Z307" s="315" t="str">
        <f t="shared" ca="1" si="139"/>
        <v/>
      </c>
      <c r="AA307" s="316" t="str">
        <f t="shared" ca="1" si="140"/>
        <v/>
      </c>
      <c r="AC307" s="310" t="e">
        <f t="shared" ca="1" si="141"/>
        <v>#N/A</v>
      </c>
      <c r="AD307" s="323" t="e">
        <f t="shared" ca="1" si="142"/>
        <v>#N/A</v>
      </c>
      <c r="AE307" s="324">
        <f t="shared" ca="1" si="121"/>
        <v>1139.237245592554</v>
      </c>
      <c r="AG307" s="306">
        <f t="shared" ca="1" si="143"/>
        <v>16.919587643980712</v>
      </c>
      <c r="AH307" s="304">
        <f t="shared" ca="1" si="144"/>
        <v>26.614555032277107</v>
      </c>
    </row>
    <row r="308" spans="1:34" x14ac:dyDescent="0.2">
      <c r="A308" s="347">
        <f t="shared" ca="1" si="122"/>
        <v>0.01</v>
      </c>
      <c r="B308" s="304">
        <f t="shared" ca="1" si="123"/>
        <v>7.0399999999999352</v>
      </c>
      <c r="D308" s="306">
        <f t="shared" ca="1" si="124"/>
        <v>3.83876143778041</v>
      </c>
      <c r="E308" s="307">
        <f t="shared" ca="1" si="125"/>
        <v>15.028801150348675</v>
      </c>
      <c r="F308" s="304">
        <f t="shared" ca="1" si="126"/>
        <v>15.511316945795144</v>
      </c>
      <c r="G308" s="306">
        <f t="shared" ca="1" si="127"/>
        <v>53.241668691913844</v>
      </c>
      <c r="H308" s="307">
        <f t="shared" ca="1" si="128"/>
        <v>344.40343857850712</v>
      </c>
      <c r="I308" s="304">
        <f t="shared" ca="1" si="129"/>
        <v>348.49448172072834</v>
      </c>
      <c r="J308" s="306">
        <f t="shared" ca="1" si="130"/>
        <v>159.50310519791901</v>
      </c>
      <c r="K308" s="307">
        <f t="shared" ca="1" si="131"/>
        <v>1142.6805285382816</v>
      </c>
      <c r="L308" s="304">
        <f t="shared" ca="1" si="116"/>
        <v>1153.7590870144015</v>
      </c>
      <c r="M308" s="306">
        <f t="shared" ca="1" si="132"/>
        <v>1.4174194649986129</v>
      </c>
      <c r="N308" s="304">
        <f t="shared" ca="1" si="133"/>
        <v>81.212153144111639</v>
      </c>
      <c r="P308" s="310">
        <f t="shared" ca="1" si="134"/>
        <v>8</v>
      </c>
      <c r="Q308" s="304">
        <f t="shared" ca="1" si="135"/>
        <v>362.7391304348368</v>
      </c>
      <c r="R308" s="306">
        <f t="shared" ca="1" si="136"/>
        <v>0.18204186892501659</v>
      </c>
      <c r="S308" s="307">
        <f t="shared" ca="1" si="137"/>
        <v>5.6972296475197366</v>
      </c>
      <c r="T308" s="304">
        <f t="shared" ca="1" si="117"/>
        <v>55.88982284216862</v>
      </c>
      <c r="U308" s="311">
        <f t="shared" ca="1" si="118"/>
        <v>0</v>
      </c>
      <c r="V308" s="306">
        <f t="shared" ca="1" si="119"/>
        <v>1.0925869272517295</v>
      </c>
      <c r="W308" s="304">
        <f t="shared" ca="1" si="120"/>
        <v>219.66551099264015</v>
      </c>
      <c r="Y308" s="314" t="str">
        <f t="shared" ca="1" si="138"/>
        <v/>
      </c>
      <c r="Z308" s="315" t="str">
        <f t="shared" ca="1" si="139"/>
        <v/>
      </c>
      <c r="AA308" s="316" t="str">
        <f t="shared" ca="1" si="140"/>
        <v/>
      </c>
      <c r="AC308" s="310" t="e">
        <f t="shared" ca="1" si="141"/>
        <v>#N/A</v>
      </c>
      <c r="AD308" s="323" t="e">
        <f t="shared" ca="1" si="142"/>
        <v>#N/A</v>
      </c>
      <c r="AE308" s="324">
        <f t="shared" ca="1" si="121"/>
        <v>1142.6805285382816</v>
      </c>
      <c r="AG308" s="306">
        <f t="shared" ca="1" si="143"/>
        <v>15.438782236644506</v>
      </c>
      <c r="AH308" s="304">
        <f t="shared" ca="1" si="144"/>
        <v>25.133685204576597</v>
      </c>
    </row>
    <row r="309" spans="1:34" x14ac:dyDescent="0.2">
      <c r="A309" s="347">
        <f t="shared" ca="1" si="122"/>
        <v>0.01</v>
      </c>
      <c r="B309" s="304">
        <f t="shared" ca="1" si="123"/>
        <v>7.049999999999935</v>
      </c>
      <c r="D309" s="306">
        <f t="shared" ca="1" si="124"/>
        <v>3.6139186603038902</v>
      </c>
      <c r="E309" s="307">
        <f t="shared" ca="1" si="125"/>
        <v>13.567291582536802</v>
      </c>
      <c r="F309" s="304">
        <f t="shared" ca="1" si="126"/>
        <v>14.040363562560145</v>
      </c>
      <c r="G309" s="306">
        <f t="shared" ca="1" si="127"/>
        <v>53.277807878516882</v>
      </c>
      <c r="H309" s="307">
        <f t="shared" ca="1" si="128"/>
        <v>344.53911149433247</v>
      </c>
      <c r="I309" s="304">
        <f t="shared" ca="1" si="129"/>
        <v>348.63408347670804</v>
      </c>
      <c r="J309" s="306">
        <f t="shared" ca="1" si="130"/>
        <v>160.03570258077116</v>
      </c>
      <c r="K309" s="307">
        <f t="shared" ca="1" si="131"/>
        <v>1146.1252412886458</v>
      </c>
      <c r="L309" s="304">
        <f t="shared" ca="1" si="116"/>
        <v>1157.2443539803846</v>
      </c>
      <c r="M309" s="306">
        <f t="shared" ca="1" si="132"/>
        <v>1.4173764762386523</v>
      </c>
      <c r="N309" s="304">
        <f t="shared" ca="1" si="133"/>
        <v>81.20969006959939</v>
      </c>
      <c r="P309" s="310">
        <f t="shared" ca="1" si="134"/>
        <v>8</v>
      </c>
      <c r="Q309" s="304">
        <f t="shared" ca="1" si="135"/>
        <v>354.39130434788041</v>
      </c>
      <c r="R309" s="306">
        <f t="shared" ca="1" si="136"/>
        <v>0.17785248395155412</v>
      </c>
      <c r="S309" s="307">
        <f t="shared" ca="1" si="137"/>
        <v>5.6954511226802209</v>
      </c>
      <c r="T309" s="304">
        <f t="shared" ca="1" si="117"/>
        <v>55.872375513492969</v>
      </c>
      <c r="U309" s="311">
        <f t="shared" ca="1" si="118"/>
        <v>0</v>
      </c>
      <c r="V309" s="306">
        <f t="shared" ca="1" si="119"/>
        <v>1.09220939136053</v>
      </c>
      <c r="W309" s="304">
        <f t="shared" ca="1" si="120"/>
        <v>219.76557104874618</v>
      </c>
      <c r="Y309" s="314" t="str">
        <f t="shared" ca="1" si="138"/>
        <v/>
      </c>
      <c r="Z309" s="315" t="str">
        <f t="shared" ca="1" si="139"/>
        <v/>
      </c>
      <c r="AA309" s="316" t="str">
        <f t="shared" ca="1" si="140"/>
        <v/>
      </c>
      <c r="AC309" s="310" t="e">
        <f t="shared" ca="1" si="141"/>
        <v>#N/A</v>
      </c>
      <c r="AD309" s="323" t="e">
        <f t="shared" ca="1" si="142"/>
        <v>#N/A</v>
      </c>
      <c r="AE309" s="324">
        <f t="shared" ca="1" si="121"/>
        <v>1146.1252412886458</v>
      </c>
      <c r="AG309" s="306">
        <f t="shared" ca="1" si="143"/>
        <v>13.960143383598851</v>
      </c>
      <c r="AH309" s="304">
        <f t="shared" ca="1" si="144"/>
        <v>23.654981923862017</v>
      </c>
    </row>
    <row r="310" spans="1:34" x14ac:dyDescent="0.2">
      <c r="A310" s="347">
        <f t="shared" ca="1" si="122"/>
        <v>0.01</v>
      </c>
      <c r="B310" s="304">
        <f t="shared" ca="1" si="123"/>
        <v>7.0599999999999348</v>
      </c>
      <c r="D310" s="306">
        <f t="shared" ca="1" si="124"/>
        <v>3.3892858196186393</v>
      </c>
      <c r="E310" s="307">
        <f t="shared" ca="1" si="125"/>
        <v>12.107972442755331</v>
      </c>
      <c r="F310" s="304">
        <f t="shared" ca="1" si="126"/>
        <v>12.573394730206735</v>
      </c>
      <c r="G310" s="306">
        <f t="shared" ca="1" si="127"/>
        <v>53.311700736713071</v>
      </c>
      <c r="H310" s="307">
        <f t="shared" ca="1" si="128"/>
        <v>344.66019121876002</v>
      </c>
      <c r="I310" s="304">
        <f t="shared" ca="1" si="129"/>
        <v>348.75892081263396</v>
      </c>
      <c r="J310" s="306">
        <f t="shared" ca="1" si="130"/>
        <v>160.56865012384731</v>
      </c>
      <c r="K310" s="307">
        <f t="shared" ca="1" si="131"/>
        <v>1149.5712378022113</v>
      </c>
      <c r="L310" s="304">
        <f t="shared" ca="1" si="116"/>
        <v>1160.7309430633366</v>
      </c>
      <c r="M310" s="306">
        <f t="shared" ca="1" si="132"/>
        <v>1.4173334909163822</v>
      </c>
      <c r="N310" s="304">
        <f t="shared" ca="1" si="133"/>
        <v>81.207227192052301</v>
      </c>
      <c r="P310" s="310">
        <f t="shared" ca="1" si="134"/>
        <v>8</v>
      </c>
      <c r="Q310" s="304">
        <f t="shared" ca="1" si="135"/>
        <v>346.04347826092408</v>
      </c>
      <c r="R310" s="306">
        <f t="shared" ca="1" si="136"/>
        <v>0.17366309897809165</v>
      </c>
      <c r="S310" s="307">
        <f t="shared" ca="1" si="137"/>
        <v>5.6937144916904403</v>
      </c>
      <c r="T310" s="304">
        <f t="shared" ca="1" si="117"/>
        <v>55.855339163483222</v>
      </c>
      <c r="U310" s="311">
        <f t="shared" ca="1" si="118"/>
        <v>0</v>
      </c>
      <c r="V310" s="306">
        <f t="shared" ca="1" si="119"/>
        <v>1.0918318378208365</v>
      </c>
      <c r="W310" s="304">
        <f t="shared" ca="1" si="120"/>
        <v>219.84696188061673</v>
      </c>
      <c r="Y310" s="314" t="str">
        <f t="shared" ca="1" si="138"/>
        <v/>
      </c>
      <c r="Z310" s="315" t="str">
        <f t="shared" ca="1" si="139"/>
        <v/>
      </c>
      <c r="AA310" s="316" t="str">
        <f t="shared" ca="1" si="140"/>
        <v/>
      </c>
      <c r="AC310" s="310" t="e">
        <f t="shared" ca="1" si="141"/>
        <v>#N/A</v>
      </c>
      <c r="AD310" s="323" t="e">
        <f t="shared" ca="1" si="142"/>
        <v>#N/A</v>
      </c>
      <c r="AE310" s="324">
        <f t="shared" ca="1" si="121"/>
        <v>1149.5712378022113</v>
      </c>
      <c r="AG310" s="306">
        <f t="shared" ca="1" si="143"/>
        <v>12.483701371838412</v>
      </c>
      <c r="AH310" s="304">
        <f t="shared" ca="1" si="144"/>
        <v>22.178475474397469</v>
      </c>
    </row>
    <row r="311" spans="1:34" x14ac:dyDescent="0.2">
      <c r="A311" s="347">
        <f t="shared" ca="1" si="122"/>
        <v>0.01</v>
      </c>
      <c r="B311" s="304">
        <f t="shared" ca="1" si="123"/>
        <v>7.0699999999999346</v>
      </c>
      <c r="D311" s="306">
        <f t="shared" ca="1" si="124"/>
        <v>3.1648678022370715</v>
      </c>
      <c r="E311" s="307">
        <f t="shared" ca="1" si="125"/>
        <v>10.650873069651373</v>
      </c>
      <c r="F311" s="304">
        <f t="shared" ca="1" si="126"/>
        <v>11.111142396327292</v>
      </c>
      <c r="G311" s="306">
        <f t="shared" ca="1" si="127"/>
        <v>53.343349414735442</v>
      </c>
      <c r="H311" s="307">
        <f t="shared" ca="1" si="128"/>
        <v>344.76669994945655</v>
      </c>
      <c r="I311" s="304">
        <f t="shared" ca="1" si="129"/>
        <v>348.86901599428569</v>
      </c>
      <c r="J311" s="306">
        <f t="shared" ca="1" si="130"/>
        <v>161.10192537460455</v>
      </c>
      <c r="K311" s="307">
        <f t="shared" ca="1" si="131"/>
        <v>1153.0183722580523</v>
      </c>
      <c r="L311" s="304">
        <f t="shared" ca="1" si="116"/>
        <v>1164.2187067402813</v>
      </c>
      <c r="M311" s="306">
        <f t="shared" ca="1" si="132"/>
        <v>1.417290507214092</v>
      </c>
      <c r="N311" s="304">
        <f t="shared" ca="1" si="133"/>
        <v>81.204764407323225</v>
      </c>
      <c r="P311" s="310">
        <f t="shared" ca="1" si="134"/>
        <v>8</v>
      </c>
      <c r="Q311" s="304">
        <f t="shared" ca="1" si="135"/>
        <v>337.69565217396774</v>
      </c>
      <c r="R311" s="306">
        <f t="shared" ca="1" si="136"/>
        <v>0.16947371400462921</v>
      </c>
      <c r="S311" s="307">
        <f t="shared" ca="1" si="137"/>
        <v>5.6920197545503939</v>
      </c>
      <c r="T311" s="304">
        <f t="shared" ca="1" si="117"/>
        <v>55.838713792139366</v>
      </c>
      <c r="U311" s="311">
        <f t="shared" ca="1" si="118"/>
        <v>0</v>
      </c>
      <c r="V311" s="306">
        <f t="shared" ca="1" si="119"/>
        <v>1.0914542826787763</v>
      </c>
      <c r="W311" s="304">
        <f t="shared" ca="1" si="120"/>
        <v>219.90971403993294</v>
      </c>
      <c r="Y311" s="314" t="str">
        <f t="shared" ca="1" si="138"/>
        <v/>
      </c>
      <c r="Z311" s="315" t="str">
        <f t="shared" ca="1" si="139"/>
        <v/>
      </c>
      <c r="AA311" s="316" t="str">
        <f t="shared" ca="1" si="140"/>
        <v/>
      </c>
      <c r="AC311" s="310" t="e">
        <f t="shared" ca="1" si="141"/>
        <v>#N/A</v>
      </c>
      <c r="AD311" s="323" t="e">
        <f t="shared" ca="1" si="142"/>
        <v>#N/A</v>
      </c>
      <c r="AE311" s="324">
        <f t="shared" ca="1" si="121"/>
        <v>1153.0183722580523</v>
      </c>
      <c r="AG311" s="306">
        <f t="shared" ca="1" si="143"/>
        <v>11.009485936675752</v>
      </c>
      <c r="AH311" s="304">
        <f t="shared" ca="1" si="144"/>
        <v>20.704195588769483</v>
      </c>
    </row>
    <row r="312" spans="1:34" x14ac:dyDescent="0.2">
      <c r="A312" s="347">
        <f t="shared" ca="1" si="122"/>
        <v>0.01</v>
      </c>
      <c r="B312" s="304">
        <f t="shared" ca="1" si="123"/>
        <v>7.0799999999999343</v>
      </c>
      <c r="D312" s="306">
        <f t="shared" ca="1" si="124"/>
        <v>2.9406694048282391</v>
      </c>
      <c r="E312" s="307">
        <f t="shared" ca="1" si="125"/>
        <v>9.1960222589791538</v>
      </c>
      <c r="F312" s="304">
        <f t="shared" ca="1" si="126"/>
        <v>9.6547585125746629</v>
      </c>
      <c r="G312" s="306">
        <f t="shared" ca="1" si="127"/>
        <v>53.372756108783726</v>
      </c>
      <c r="H312" s="307">
        <f t="shared" ca="1" si="128"/>
        <v>344.85866017204637</v>
      </c>
      <c r="I312" s="304">
        <f t="shared" ca="1" si="129"/>
        <v>348.96439157929376</v>
      </c>
      <c r="J312" s="306">
        <f t="shared" ca="1" si="130"/>
        <v>161.63550590222215</v>
      </c>
      <c r="K312" s="307">
        <f t="shared" ca="1" si="131"/>
        <v>1156.4664990586598</v>
      </c>
      <c r="L312" s="304">
        <f t="shared" ca="1" si="116"/>
        <v>1167.7074977121883</v>
      </c>
      <c r="M312" s="306">
        <f t="shared" ca="1" si="132"/>
        <v>1.4172475233182706</v>
      </c>
      <c r="N312" s="304">
        <f t="shared" ca="1" si="133"/>
        <v>81.202301611505632</v>
      </c>
      <c r="P312" s="310">
        <f t="shared" ca="1" si="134"/>
        <v>8</v>
      </c>
      <c r="Q312" s="304">
        <f t="shared" ca="1" si="135"/>
        <v>329.34782608701141</v>
      </c>
      <c r="R312" s="306">
        <f t="shared" ca="1" si="136"/>
        <v>0.16528432903116677</v>
      </c>
      <c r="S312" s="307">
        <f t="shared" ca="1" si="137"/>
        <v>5.6903669112600825</v>
      </c>
      <c r="T312" s="304">
        <f t="shared" ca="1" si="117"/>
        <v>55.822499399461414</v>
      </c>
      <c r="U312" s="311">
        <f t="shared" ca="1" si="118"/>
        <v>0</v>
      </c>
      <c r="V312" s="306">
        <f t="shared" ca="1" si="119"/>
        <v>1.0910767419351532</v>
      </c>
      <c r="W312" s="304">
        <f t="shared" ca="1" si="120"/>
        <v>219.95386082790031</v>
      </c>
      <c r="Y312" s="314" t="str">
        <f t="shared" ca="1" si="138"/>
        <v/>
      </c>
      <c r="Z312" s="315" t="str">
        <f t="shared" ca="1" si="139"/>
        <v/>
      </c>
      <c r="AA312" s="316" t="str">
        <f t="shared" ca="1" si="140"/>
        <v/>
      </c>
      <c r="AC312" s="310" t="e">
        <f t="shared" ca="1" si="141"/>
        <v>#N/A</v>
      </c>
      <c r="AD312" s="323" t="e">
        <f t="shared" ca="1" si="142"/>
        <v>#N/A</v>
      </c>
      <c r="AE312" s="324">
        <f t="shared" ca="1" si="121"/>
        <v>1156.4664990586598</v>
      </c>
      <c r="AG312" s="306">
        <f t="shared" ca="1" si="143"/>
        <v>9.5375262632078055</v>
      </c>
      <c r="AH312" s="304">
        <f t="shared" ca="1" si="144"/>
        <v>19.232171449352876</v>
      </c>
    </row>
    <row r="313" spans="1:34" x14ac:dyDescent="0.2">
      <c r="A313" s="347">
        <f t="shared" ca="1" si="122"/>
        <v>0.01</v>
      </c>
      <c r="B313" s="304">
        <f t="shared" ca="1" si="123"/>
        <v>7.0899999999999341</v>
      </c>
      <c r="D313" s="306">
        <f t="shared" ca="1" si="124"/>
        <v>2.7166953344203852</v>
      </c>
      <c r="E313" s="307">
        <f t="shared" ca="1" si="125"/>
        <v>7.7434482651473804</v>
      </c>
      <c r="F313" s="304">
        <f t="shared" ca="1" si="126"/>
        <v>8.2061820949254756</v>
      </c>
      <c r="G313" s="306">
        <f t="shared" ca="1" si="127"/>
        <v>53.399923062127932</v>
      </c>
      <c r="H313" s="307">
        <f t="shared" ca="1" si="128"/>
        <v>344.93609465469785</v>
      </c>
      <c r="I313" s="304">
        <f t="shared" ca="1" si="129"/>
        <v>349.04507041165311</v>
      </c>
      <c r="J313" s="306">
        <f t="shared" ca="1" si="130"/>
        <v>162.1693692980767</v>
      </c>
      <c r="K313" s="307">
        <f t="shared" ca="1" si="131"/>
        <v>1159.9154728327935</v>
      </c>
      <c r="L313" s="304">
        <f t="shared" ca="1" si="116"/>
        <v>1171.1971689068664</v>
      </c>
      <c r="M313" s="306">
        <f t="shared" ca="1" si="132"/>
        <v>1.4172045374191784</v>
      </c>
      <c r="N313" s="304">
        <f t="shared" ca="1" si="133"/>
        <v>81.199838700909069</v>
      </c>
      <c r="P313" s="310">
        <f t="shared" ca="1" si="134"/>
        <v>8</v>
      </c>
      <c r="Q313" s="304">
        <f t="shared" ca="1" si="135"/>
        <v>321.00000000005502</v>
      </c>
      <c r="R313" s="306">
        <f t="shared" ca="1" si="136"/>
        <v>0.1610949440577043</v>
      </c>
      <c r="S313" s="307">
        <f t="shared" ca="1" si="137"/>
        <v>5.6887559618195054</v>
      </c>
      <c r="T313" s="304">
        <f t="shared" ca="1" si="117"/>
        <v>55.806695985449352</v>
      </c>
      <c r="U313" s="311">
        <f t="shared" ca="1" si="118"/>
        <v>0</v>
      </c>
      <c r="V313" s="306">
        <f t="shared" ca="1" si="119"/>
        <v>1.0906992315451867</v>
      </c>
      <c r="W313" s="304">
        <f t="shared" ca="1" si="120"/>
        <v>219.97943826934065</v>
      </c>
      <c r="Y313" s="314" t="str">
        <f t="shared" ca="1" si="138"/>
        <v/>
      </c>
      <c r="Z313" s="315" t="str">
        <f t="shared" ca="1" si="139"/>
        <v/>
      </c>
      <c r="AA313" s="316" t="str">
        <f t="shared" ca="1" si="140"/>
        <v/>
      </c>
      <c r="AC313" s="310" t="e">
        <f t="shared" ca="1" si="141"/>
        <v>#N/A</v>
      </c>
      <c r="AD313" s="323" t="e">
        <f t="shared" ca="1" si="142"/>
        <v>#N/A</v>
      </c>
      <c r="AE313" s="324">
        <f t="shared" ca="1" si="121"/>
        <v>1159.9154728327935</v>
      </c>
      <c r="AG313" s="306">
        <f t="shared" ca="1" si="143"/>
        <v>8.067850987874909</v>
      </c>
      <c r="AH313" s="304">
        <f t="shared" ca="1" si="144"/>
        <v>17.762431689869128</v>
      </c>
    </row>
    <row r="314" spans="1:34" x14ac:dyDescent="0.2">
      <c r="A314" s="347">
        <f t="shared" ca="1" si="122"/>
        <v>0.01</v>
      </c>
      <c r="B314" s="304">
        <f t="shared" ca="1" si="123"/>
        <v>7.0999999999999339</v>
      </c>
      <c r="D314" s="306">
        <f t="shared" ca="1" si="124"/>
        <v>2.492950208614876</v>
      </c>
      <c r="E314" s="307">
        <f t="shared" ca="1" si="125"/>
        <v>6.2931788028565681</v>
      </c>
      <c r="F314" s="304">
        <f t="shared" ca="1" si="126"/>
        <v>6.7689659614564599</v>
      </c>
      <c r="G314" s="306">
        <f t="shared" ca="1" si="127"/>
        <v>53.424852564214078</v>
      </c>
      <c r="H314" s="307">
        <f t="shared" ca="1" si="128"/>
        <v>344.9990264427264</v>
      </c>
      <c r="I314" s="304">
        <f t="shared" ca="1" si="129"/>
        <v>349.11107561625289</v>
      </c>
      <c r="J314" s="306">
        <f t="shared" ca="1" si="130"/>
        <v>162.70349317620841</v>
      </c>
      <c r="K314" s="307">
        <f t="shared" ca="1" si="131"/>
        <v>1163.3651484382806</v>
      </c>
      <c r="L314" s="304">
        <f t="shared" ca="1" si="116"/>
        <v>1174.6875734818016</v>
      </c>
      <c r="M314" s="306">
        <f t="shared" ca="1" si="132"/>
        <v>1.4171615477104225</v>
      </c>
      <c r="N314" s="304">
        <f t="shared" ca="1" si="133"/>
        <v>81.197375572034858</v>
      </c>
      <c r="P314" s="310">
        <f t="shared" ca="1" si="134"/>
        <v>8</v>
      </c>
      <c r="Q314" s="304">
        <f t="shared" ca="1" si="135"/>
        <v>312.65217391309869</v>
      </c>
      <c r="R314" s="306">
        <f t="shared" ca="1" si="136"/>
        <v>0.15690555908424186</v>
      </c>
      <c r="S314" s="307">
        <f t="shared" ca="1" si="137"/>
        <v>5.6871869062286633</v>
      </c>
      <c r="T314" s="304">
        <f t="shared" ca="1" si="117"/>
        <v>55.791303550103187</v>
      </c>
      <c r="U314" s="311">
        <f t="shared" ca="1" si="118"/>
        <v>0</v>
      </c>
      <c r="V314" s="306">
        <f t="shared" ca="1" si="119"/>
        <v>1.0903217674182544</v>
      </c>
      <c r="W314" s="304">
        <f t="shared" ca="1" si="120"/>
        <v>219.98648508663669</v>
      </c>
      <c r="Y314" s="314" t="str">
        <f t="shared" ca="1" si="138"/>
        <v/>
      </c>
      <c r="Z314" s="315" t="str">
        <f t="shared" ca="1" si="139"/>
        <v/>
      </c>
      <c r="AA314" s="316" t="str">
        <f t="shared" ca="1" si="140"/>
        <v/>
      </c>
      <c r="AC314" s="310" t="e">
        <f t="shared" ca="1" si="141"/>
        <v>#N/A</v>
      </c>
      <c r="AD314" s="323" t="e">
        <f t="shared" ca="1" si="142"/>
        <v>#N/A</v>
      </c>
      <c r="AE314" s="324">
        <f t="shared" ca="1" si="121"/>
        <v>1163.3651484382806</v>
      </c>
      <c r="AG314" s="306">
        <f t="shared" ca="1" si="143"/>
        <v>6.6004882001104033</v>
      </c>
      <c r="AH314" s="304">
        <f t="shared" ca="1" si="144"/>
        <v>16.29500439703537</v>
      </c>
    </row>
    <row r="315" spans="1:34" x14ac:dyDescent="0.2">
      <c r="A315" s="347">
        <f t="shared" ca="1" si="122"/>
        <v>0.01</v>
      </c>
      <c r="B315" s="304">
        <f t="shared" ca="1" si="123"/>
        <v>7.1099999999999337</v>
      </c>
      <c r="D315" s="306">
        <f t="shared" ca="1" si="124"/>
        <v>2.2694385558112997</v>
      </c>
      <c r="E315" s="307">
        <f t="shared" ca="1" si="125"/>
        <v>4.8452410488248443</v>
      </c>
      <c r="F315" s="304">
        <f t="shared" ca="1" si="126"/>
        <v>5.3503936471833686</v>
      </c>
      <c r="G315" s="306">
        <f t="shared" ca="1" si="127"/>
        <v>53.447546949772189</v>
      </c>
      <c r="H315" s="307">
        <f t="shared" ca="1" si="128"/>
        <v>345.04747885321467</v>
      </c>
      <c r="I315" s="304">
        <f t="shared" ca="1" si="129"/>
        <v>349.16243059342412</v>
      </c>
      <c r="J315" s="306">
        <f t="shared" ca="1" si="130"/>
        <v>163.23785517377834</v>
      </c>
      <c r="K315" s="307">
        <f t="shared" ca="1" si="131"/>
        <v>1166.8153809647604</v>
      </c>
      <c r="L315" s="304">
        <f t="shared" ca="1" si="116"/>
        <v>1178.1785648269426</v>
      </c>
      <c r="M315" s="306">
        <f t="shared" ca="1" si="132"/>
        <v>1.4171185523885343</v>
      </c>
      <c r="N315" s="304">
        <f t="shared" ca="1" si="133"/>
        <v>81.194912121551866</v>
      </c>
      <c r="P315" s="310">
        <f t="shared" ca="1" si="134"/>
        <v>8</v>
      </c>
      <c r="Q315" s="304">
        <f t="shared" ca="1" si="135"/>
        <v>304.30434782614236</v>
      </c>
      <c r="R315" s="306">
        <f t="shared" ca="1" si="136"/>
        <v>0.15271617411077942</v>
      </c>
      <c r="S315" s="307">
        <f t="shared" ca="1" si="137"/>
        <v>5.6856597444875554</v>
      </c>
      <c r="T315" s="304">
        <f t="shared" ca="1" si="117"/>
        <v>55.77632209342292</v>
      </c>
      <c r="U315" s="311">
        <f t="shared" ca="1" si="118"/>
        <v>0</v>
      </c>
      <c r="V315" s="306">
        <f t="shared" ca="1" si="119"/>
        <v>1.0899443654176493</v>
      </c>
      <c r="W315" s="304">
        <f t="shared" ca="1" si="120"/>
        <v>219.97504267354287</v>
      </c>
      <c r="Y315" s="314" t="str">
        <f t="shared" ca="1" si="138"/>
        <v/>
      </c>
      <c r="Z315" s="315" t="str">
        <f t="shared" ca="1" si="139"/>
        <v/>
      </c>
      <c r="AA315" s="316" t="str">
        <f t="shared" ca="1" si="140"/>
        <v/>
      </c>
      <c r="AC315" s="310" t="e">
        <f t="shared" ca="1" si="141"/>
        <v>#N/A</v>
      </c>
      <c r="AD315" s="323" t="e">
        <f t="shared" ca="1" si="142"/>
        <v>#N/A</v>
      </c>
      <c r="AE315" s="324">
        <f t="shared" ca="1" si="121"/>
        <v>1166.8153809647604</v>
      </c>
      <c r="AG315" s="306">
        <f t="shared" ca="1" si="143"/>
        <v>5.1354654440794292</v>
      </c>
      <c r="AH315" s="304">
        <f t="shared" ca="1" si="144"/>
        <v>14.829917112302537</v>
      </c>
    </row>
    <row r="316" spans="1:34" x14ac:dyDescent="0.2">
      <c r="A316" s="347">
        <f t="shared" ca="1" si="122"/>
        <v>0.01</v>
      </c>
      <c r="B316" s="304">
        <f t="shared" ca="1" si="123"/>
        <v>7.1199999999999335</v>
      </c>
      <c r="D316" s="306">
        <f t="shared" ca="1" si="124"/>
        <v>2.0461648154434404</v>
      </c>
      <c r="E316" s="307">
        <f t="shared" ca="1" si="125"/>
        <v>3.3996616435999343</v>
      </c>
      <c r="F316" s="304">
        <f t="shared" ca="1" si="126"/>
        <v>3.9679326787287228</v>
      </c>
      <c r="G316" s="306">
        <f t="shared" ca="1" si="127"/>
        <v>53.468008597926627</v>
      </c>
      <c r="H316" s="307">
        <f t="shared" ca="1" si="128"/>
        <v>345.08147546965068</v>
      </c>
      <c r="I316" s="304">
        <f t="shared" ca="1" si="129"/>
        <v>349.19915901350493</v>
      </c>
      <c r="J316" s="306">
        <f t="shared" ca="1" si="130"/>
        <v>163.77243295151683</v>
      </c>
      <c r="K316" s="307">
        <f t="shared" ca="1" si="131"/>
        <v>1170.2660257363748</v>
      </c>
      <c r="L316" s="304">
        <f t="shared" ca="1" si="116"/>
        <v>1181.6699965674295</v>
      </c>
      <c r="M316" s="306">
        <f t="shared" ca="1" si="132"/>
        <v>1.4170755496525489</v>
      </c>
      <c r="N316" s="304">
        <f t="shared" ca="1" si="133"/>
        <v>81.192448246272377</v>
      </c>
      <c r="P316" s="310">
        <f t="shared" ca="1" si="134"/>
        <v>8</v>
      </c>
      <c r="Q316" s="304">
        <f t="shared" ca="1" si="135"/>
        <v>295.95652173918603</v>
      </c>
      <c r="R316" s="306">
        <f t="shared" ca="1" si="136"/>
        <v>0.14852678913731698</v>
      </c>
      <c r="S316" s="307">
        <f t="shared" ca="1" si="137"/>
        <v>5.6841744765961826</v>
      </c>
      <c r="T316" s="304">
        <f t="shared" ca="1" si="117"/>
        <v>55.761751615408556</v>
      </c>
      <c r="U316" s="311">
        <f t="shared" ca="1" si="118"/>
        <v>0</v>
      </c>
      <c r="V316" s="306">
        <f t="shared" ca="1" si="119"/>
        <v>1.0895670413603418</v>
      </c>
      <c r="W316" s="304">
        <f t="shared" ca="1" si="120"/>
        <v>219.94515506886898</v>
      </c>
      <c r="Y316" s="314" t="str">
        <f t="shared" ca="1" si="138"/>
        <v/>
      </c>
      <c r="Z316" s="315" t="str">
        <f t="shared" ca="1" si="139"/>
        <v/>
      </c>
      <c r="AA316" s="316" t="str">
        <f t="shared" ca="1" si="140"/>
        <v/>
      </c>
      <c r="AC316" s="310" t="e">
        <f t="shared" ca="1" si="141"/>
        <v>#N/A</v>
      </c>
      <c r="AD316" s="323" t="e">
        <f t="shared" ca="1" si="142"/>
        <v>#N/A</v>
      </c>
      <c r="AE316" s="324">
        <f t="shared" ca="1" si="121"/>
        <v>1170.2660257363748</v>
      </c>
      <c r="AG316" s="306">
        <f t="shared" ca="1" si="143"/>
        <v>3.6728097205045351</v>
      </c>
      <c r="AH316" s="304">
        <f t="shared" ca="1" si="144"/>
        <v>13.367196833680351</v>
      </c>
    </row>
    <row r="317" spans="1:34" x14ac:dyDescent="0.2">
      <c r="A317" s="347">
        <f t="shared" ca="1" si="122"/>
        <v>0.01</v>
      </c>
      <c r="B317" s="304">
        <f t="shared" ca="1" si="123"/>
        <v>7.1299999999999333</v>
      </c>
      <c r="D317" s="306">
        <f t="shared" ca="1" si="124"/>
        <v>1.823133338225938</v>
      </c>
      <c r="E317" s="307">
        <f t="shared" ca="1" si="125"/>
        <v>1.9564666934558854</v>
      </c>
      <c r="F317" s="304">
        <f t="shared" ca="1" si="126"/>
        <v>2.6742432745644251</v>
      </c>
      <c r="G317" s="306">
        <f t="shared" ca="1" si="127"/>
        <v>53.486239931308887</v>
      </c>
      <c r="H317" s="307">
        <f t="shared" ca="1" si="128"/>
        <v>345.10104013658525</v>
      </c>
      <c r="I317" s="304">
        <f t="shared" ca="1" si="129"/>
        <v>349.22128481142522</v>
      </c>
      <c r="J317" s="306">
        <f t="shared" ca="1" si="130"/>
        <v>164.30720419416301</v>
      </c>
      <c r="K317" s="307">
        <f t="shared" ca="1" si="131"/>
        <v>1173.716938314406</v>
      </c>
      <c r="L317" s="304">
        <f t="shared" ca="1" si="116"/>
        <v>1185.1617225662687</v>
      </c>
      <c r="M317" s="306">
        <f t="shared" ca="1" si="132"/>
        <v>1.4170325377035855</v>
      </c>
      <c r="N317" s="304">
        <f t="shared" ca="1" si="133"/>
        <v>81.189983843128147</v>
      </c>
      <c r="P317" s="310">
        <f t="shared" ca="1" si="134"/>
        <v>8</v>
      </c>
      <c r="Q317" s="304">
        <f t="shared" ca="1" si="135"/>
        <v>287.6086956522297</v>
      </c>
      <c r="R317" s="306">
        <f t="shared" ca="1" si="136"/>
        <v>0.14433740416385454</v>
      </c>
      <c r="S317" s="307">
        <f t="shared" ca="1" si="137"/>
        <v>5.6827311025545439</v>
      </c>
      <c r="T317" s="304">
        <f t="shared" ca="1" si="117"/>
        <v>55.747592116060076</v>
      </c>
      <c r="U317" s="311">
        <f t="shared" ca="1" si="118"/>
        <v>0</v>
      </c>
      <c r="V317" s="306">
        <f t="shared" ca="1" si="119"/>
        <v>1.0891898110167513</v>
      </c>
      <c r="W317" s="304">
        <f t="shared" ca="1" si="120"/>
        <v>219.8968689300481</v>
      </c>
      <c r="Y317" s="314" t="str">
        <f t="shared" ca="1" si="138"/>
        <v/>
      </c>
      <c r="Z317" s="315" t="str">
        <f t="shared" ca="1" si="139"/>
        <v/>
      </c>
      <c r="AA317" s="316" t="str">
        <f t="shared" ca="1" si="140"/>
        <v/>
      </c>
      <c r="AC317" s="310" t="e">
        <f t="shared" ca="1" si="141"/>
        <v>#N/A</v>
      </c>
      <c r="AD317" s="323" t="e">
        <f t="shared" ca="1" si="142"/>
        <v>#N/A</v>
      </c>
      <c r="AE317" s="324">
        <f t="shared" ca="1" si="121"/>
        <v>1173.716938314406</v>
      </c>
      <c r="AG317" s="306">
        <f t="shared" ca="1" si="143"/>
        <v>2.2125474885766749</v>
      </c>
      <c r="AH317" s="304">
        <f t="shared" ca="1" si="144"/>
        <v>11.906870017647693</v>
      </c>
    </row>
    <row r="318" spans="1:34" x14ac:dyDescent="0.2">
      <c r="A318" s="347">
        <f t="shared" ca="1" si="122"/>
        <v>0.01</v>
      </c>
      <c r="B318" s="304">
        <f t="shared" ca="1" si="123"/>
        <v>7.1399999999999331</v>
      </c>
      <c r="D318" s="306">
        <f t="shared" ca="1" si="124"/>
        <v>1.6003483864113386</v>
      </c>
      <c r="E318" s="307">
        <f t="shared" ca="1" si="125"/>
        <v>0.51568177237251156</v>
      </c>
      <c r="F318" s="304">
        <f t="shared" ca="1" si="126"/>
        <v>1.6813811728000971</v>
      </c>
      <c r="G318" s="306">
        <f t="shared" ca="1" si="127"/>
        <v>53.502243415172998</v>
      </c>
      <c r="H318" s="307">
        <f t="shared" ca="1" si="128"/>
        <v>345.10619695430898</v>
      </c>
      <c r="I318" s="304">
        <f t="shared" ca="1" si="129"/>
        <v>349.22883218131165</v>
      </c>
      <c r="J318" s="306">
        <f t="shared" ca="1" si="130"/>
        <v>164.84214661089541</v>
      </c>
      <c r="K318" s="307">
        <f t="shared" ca="1" si="131"/>
        <v>1177.1679744998605</v>
      </c>
      <c r="L318" s="304">
        <f t="shared" ca="1" si="116"/>
        <v>1188.6535969269569</v>
      </c>
      <c r="M318" s="306">
        <f t="shared" ca="1" si="132"/>
        <v>1.4169895147444314</v>
      </c>
      <c r="N318" s="304">
        <f t="shared" ca="1" si="133"/>
        <v>81.187518809146454</v>
      </c>
      <c r="P318" s="310">
        <f t="shared" ca="1" si="134"/>
        <v>8</v>
      </c>
      <c r="Q318" s="304">
        <f t="shared" ca="1" si="135"/>
        <v>279.26086956527331</v>
      </c>
      <c r="R318" s="306">
        <f t="shared" ca="1" si="136"/>
        <v>0.14014801919039205</v>
      </c>
      <c r="S318" s="307">
        <f t="shared" ca="1" si="137"/>
        <v>5.6813296223626404</v>
      </c>
      <c r="T318" s="304">
        <f t="shared" ca="1" si="117"/>
        <v>55.733843595377508</v>
      </c>
      <c r="U318" s="311">
        <f t="shared" ca="1" si="118"/>
        <v>0</v>
      </c>
      <c r="V318" s="306">
        <f t="shared" ca="1" si="119"/>
        <v>1.0888126901105259</v>
      </c>
      <c r="W318" s="304">
        <f t="shared" ca="1" si="120"/>
        <v>219.830233506599</v>
      </c>
      <c r="Y318" s="314" t="str">
        <f t="shared" ca="1" si="138"/>
        <v/>
      </c>
      <c r="Z318" s="315" t="str">
        <f t="shared" ca="1" si="139"/>
        <v/>
      </c>
      <c r="AA318" s="316" t="str">
        <f t="shared" ca="1" si="140"/>
        <v/>
      </c>
      <c r="AC318" s="310" t="e">
        <f t="shared" ca="1" si="141"/>
        <v>#N/A</v>
      </c>
      <c r="AD318" s="323" t="e">
        <f t="shared" ca="1" si="142"/>
        <v>#N/A</v>
      </c>
      <c r="AE318" s="324">
        <f t="shared" ca="1" si="121"/>
        <v>1177.1679744998605</v>
      </c>
      <c r="AG318" s="306">
        <f t="shared" ca="1" si="143"/>
        <v>0.75470466794952173</v>
      </c>
      <c r="AH318" s="304">
        <f t="shared" ca="1" si="144"/>
        <v>10.44896258114629</v>
      </c>
    </row>
    <row r="319" spans="1:34" x14ac:dyDescent="0.2">
      <c r="A319" s="347">
        <f t="shared" ca="1" si="122"/>
        <v>0.01</v>
      </c>
      <c r="B319" s="304">
        <f t="shared" ca="1" si="123"/>
        <v>7.1499999999999329</v>
      </c>
      <c r="D319" s="306">
        <f t="shared" ca="1" si="124"/>
        <v>1.3778141340572758</v>
      </c>
      <c r="E319" s="307">
        <f t="shared" ca="1" si="125"/>
        <v>-0.92266807590438837</v>
      </c>
      <c r="F319" s="304">
        <f t="shared" ca="1" si="126"/>
        <v>1.6582183711143437</v>
      </c>
      <c r="G319" s="306">
        <f t="shared" ca="1" si="127"/>
        <v>53.516021556513572</v>
      </c>
      <c r="H319" s="307">
        <f t="shared" ca="1" si="128"/>
        <v>345.09697027354991</v>
      </c>
      <c r="I319" s="304">
        <f t="shared" ca="1" si="129"/>
        <v>349.22182557111262</v>
      </c>
      <c r="J319" s="306">
        <f t="shared" ca="1" si="130"/>
        <v>165.37723793575384</v>
      </c>
      <c r="K319" s="307">
        <f t="shared" ca="1" si="131"/>
        <v>1180.6189903359998</v>
      </c>
      <c r="L319" s="304">
        <f t="shared" ca="1" si="116"/>
        <v>1192.145473996045</v>
      </c>
      <c r="M319" s="306">
        <f t="shared" ca="1" si="132"/>
        <v>1.4169464789791248</v>
      </c>
      <c r="N319" s="304">
        <f t="shared" ca="1" si="133"/>
        <v>81.185053041426272</v>
      </c>
      <c r="P319" s="310">
        <f t="shared" ca="1" si="134"/>
        <v>8</v>
      </c>
      <c r="Q319" s="304">
        <f t="shared" ca="1" si="135"/>
        <v>270.91304347831698</v>
      </c>
      <c r="R319" s="306">
        <f t="shared" ca="1" si="136"/>
        <v>0.13595863421692961</v>
      </c>
      <c r="S319" s="307">
        <f t="shared" ca="1" si="137"/>
        <v>5.679970036020471</v>
      </c>
      <c r="T319" s="304">
        <f t="shared" ca="1" si="117"/>
        <v>55.720506053360822</v>
      </c>
      <c r="U319" s="311">
        <f t="shared" ca="1" si="118"/>
        <v>0</v>
      </c>
      <c r="V319" s="306">
        <f t="shared" ca="1" si="119"/>
        <v>1.0884356943183315</v>
      </c>
      <c r="W319" s="304">
        <f t="shared" ca="1" si="120"/>
        <v>219.74530061349077</v>
      </c>
      <c r="Y319" s="314" t="str">
        <f t="shared" ca="1" si="138"/>
        <v/>
      </c>
      <c r="Z319" s="315" t="str">
        <f t="shared" ca="1" si="139"/>
        <v/>
      </c>
      <c r="AA319" s="316" t="str">
        <f t="shared" ca="1" si="140"/>
        <v/>
      </c>
      <c r="AC319" s="310" t="e">
        <f t="shared" ca="1" si="141"/>
        <v>#N/A</v>
      </c>
      <c r="AD319" s="323" t="e">
        <f t="shared" ca="1" si="142"/>
        <v>#N/A</v>
      </c>
      <c r="AE319" s="324">
        <f t="shared" ca="1" si="121"/>
        <v>1180.6189903359998</v>
      </c>
      <c r="AG319" s="306">
        <f t="shared" ca="1" si="143"/>
        <v>-0.7006933591848199</v>
      </c>
      <c r="AH319" s="304">
        <f t="shared" ca="1" si="144"/>
        <v>8.9934999036558079</v>
      </c>
    </row>
    <row r="320" spans="1:34" x14ac:dyDescent="0.2">
      <c r="A320" s="347">
        <f t="shared" ca="1" si="122"/>
        <v>0.01</v>
      </c>
      <c r="B320" s="304">
        <f t="shared" ca="1" si="123"/>
        <v>7.1599999999999326</v>
      </c>
      <c r="D320" s="306">
        <f t="shared" ca="1" si="124"/>
        <v>1.1555346673035682</v>
      </c>
      <c r="E320" s="307">
        <f t="shared" ca="1" si="125"/>
        <v>-2.358558335723667</v>
      </c>
      <c r="F320" s="304">
        <f t="shared" ca="1" si="126"/>
        <v>2.6264153880054777</v>
      </c>
      <c r="G320" s="306">
        <f t="shared" ca="1" si="127"/>
        <v>53.527576903186606</v>
      </c>
      <c r="H320" s="307">
        <f t="shared" ca="1" si="128"/>
        <v>345.07338469019265</v>
      </c>
      <c r="I320" s="304">
        <f t="shared" ca="1" si="129"/>
        <v>349.20028967724562</v>
      </c>
      <c r="J320" s="306">
        <f t="shared" ca="1" si="130"/>
        <v>165.91245592805234</v>
      </c>
      <c r="K320" s="307">
        <f t="shared" ca="1" si="131"/>
        <v>1184.0698421108184</v>
      </c>
      <c r="L320" s="304">
        <f t="shared" ca="1" si="116"/>
        <v>1195.6372083656549</v>
      </c>
      <c r="M320" s="306">
        <f t="shared" ca="1" si="132"/>
        <v>1.4169034286125419</v>
      </c>
      <c r="N320" s="304">
        <f t="shared" ca="1" si="133"/>
        <v>81.18258643711458</v>
      </c>
      <c r="P320" s="310">
        <f t="shared" ca="1" si="134"/>
        <v>8</v>
      </c>
      <c r="Q320" s="304">
        <f t="shared" ca="1" si="135"/>
        <v>262.56521739136065</v>
      </c>
      <c r="R320" s="306">
        <f t="shared" ca="1" si="136"/>
        <v>0.13176924924346717</v>
      </c>
      <c r="S320" s="307">
        <f t="shared" ca="1" si="137"/>
        <v>5.6786523435280367</v>
      </c>
      <c r="T320" s="304">
        <f t="shared" ca="1" si="117"/>
        <v>55.707579490010041</v>
      </c>
      <c r="U320" s="311">
        <f t="shared" ca="1" si="118"/>
        <v>0</v>
      </c>
      <c r="V320" s="306">
        <f t="shared" ca="1" si="119"/>
        <v>1.088058839269648</v>
      </c>
      <c r="W320" s="304">
        <f t="shared" ca="1" si="120"/>
        <v>219.64212460442084</v>
      </c>
      <c r="Y320" s="314" t="str">
        <f t="shared" ca="1" si="138"/>
        <v/>
      </c>
      <c r="Z320" s="315" t="str">
        <f t="shared" ca="1" si="139"/>
        <v/>
      </c>
      <c r="AA320" s="316" t="str">
        <f t="shared" ca="1" si="140"/>
        <v/>
      </c>
      <c r="AC320" s="310" t="e">
        <f t="shared" ca="1" si="141"/>
        <v>#N/A</v>
      </c>
      <c r="AD320" s="323" t="e">
        <f t="shared" ca="1" si="142"/>
        <v>#N/A</v>
      </c>
      <c r="AE320" s="324">
        <f t="shared" ca="1" si="121"/>
        <v>1184.0698421108184</v>
      </c>
      <c r="AG320" s="306">
        <f t="shared" ca="1" si="143"/>
        <v>-2.1536217459403799</v>
      </c>
      <c r="AH320" s="304">
        <f t="shared" ca="1" si="144"/>
        <v>7.5405068293486499</v>
      </c>
    </row>
    <row r="321" spans="1:34" x14ac:dyDescent="0.2">
      <c r="A321" s="347">
        <f t="shared" ca="1" si="122"/>
        <v>0.01</v>
      </c>
      <c r="B321" s="304">
        <f t="shared" ca="1" si="123"/>
        <v>7.1699999999999324</v>
      </c>
      <c r="D321" s="306">
        <f t="shared" ca="1" si="124"/>
        <v>0.9335139846589271</v>
      </c>
      <c r="E321" s="307">
        <f t="shared" ca="1" si="125"/>
        <v>-3.7919650173122772</v>
      </c>
      <c r="F321" s="304">
        <f t="shared" ca="1" si="126"/>
        <v>3.9051820766865517</v>
      </c>
      <c r="G321" s="306">
        <f t="shared" ca="1" si="127"/>
        <v>53.536912043033198</v>
      </c>
      <c r="H321" s="307">
        <f t="shared" ca="1" si="128"/>
        <v>345.03546504001952</v>
      </c>
      <c r="I321" s="304">
        <f t="shared" ca="1" si="129"/>
        <v>349.16424943926603</v>
      </c>
      <c r="J321" s="306">
        <f t="shared" ca="1" si="130"/>
        <v>166.44777837278343</v>
      </c>
      <c r="K321" s="307">
        <f t="shared" ca="1" si="131"/>
        <v>1187.5203863594695</v>
      </c>
      <c r="L321" s="304">
        <f t="shared" ca="1" si="116"/>
        <v>1199.128654875939</v>
      </c>
      <c r="M321" s="306">
        <f t="shared" ca="1" si="132"/>
        <v>1.4168603618499809</v>
      </c>
      <c r="N321" s="304">
        <f t="shared" ca="1" si="133"/>
        <v>81.180118893382542</v>
      </c>
      <c r="P321" s="310">
        <f t="shared" ca="1" si="134"/>
        <v>8</v>
      </c>
      <c r="Q321" s="304">
        <f t="shared" ca="1" si="135"/>
        <v>254.21739130440429</v>
      </c>
      <c r="R321" s="306">
        <f t="shared" ca="1" si="136"/>
        <v>0.12757986427000473</v>
      </c>
      <c r="S321" s="307">
        <f t="shared" ca="1" si="137"/>
        <v>5.6773765448853366</v>
      </c>
      <c r="T321" s="304">
        <f t="shared" ca="1" si="117"/>
        <v>55.695063905325156</v>
      </c>
      <c r="U321" s="311">
        <f t="shared" ca="1" si="118"/>
        <v>0</v>
      </c>
      <c r="V321" s="306">
        <f t="shared" ca="1" si="119"/>
        <v>1.0876821405465746</v>
      </c>
      <c r="W321" s="304">
        <f t="shared" ca="1" si="120"/>
        <v>219.52076234501462</v>
      </c>
      <c r="Y321" s="314" t="str">
        <f t="shared" ca="1" si="138"/>
        <v/>
      </c>
      <c r="Z321" s="315" t="str">
        <f t="shared" ca="1" si="139"/>
        <v/>
      </c>
      <c r="AA321" s="316" t="str">
        <f t="shared" ca="1" si="140"/>
        <v/>
      </c>
      <c r="AC321" s="310" t="e">
        <f t="shared" ca="1" si="141"/>
        <v>#N/A</v>
      </c>
      <c r="AD321" s="323" t="e">
        <f t="shared" ca="1" si="142"/>
        <v>#N/A</v>
      </c>
      <c r="AE321" s="324">
        <f t="shared" ca="1" si="121"/>
        <v>1187.5203863594695</v>
      </c>
      <c r="AG321" s="306">
        <f t="shared" ca="1" si="143"/>
        <v>-3.604056178504166</v>
      </c>
      <c r="AH321" s="304">
        <f t="shared" ca="1" si="144"/>
        <v>6.090007669322512</v>
      </c>
    </row>
    <row r="322" spans="1:34" x14ac:dyDescent="0.2">
      <c r="A322" s="347">
        <f t="shared" ca="1" si="122"/>
        <v>0.01</v>
      </c>
      <c r="B322" s="304">
        <f t="shared" ca="1" si="123"/>
        <v>7.1799999999999322</v>
      </c>
      <c r="D322" s="306">
        <f t="shared" ca="1" si="124"/>
        <v>0.71175599729706251</v>
      </c>
      <c r="E322" s="307">
        <f t="shared" ca="1" si="125"/>
        <v>-5.2228646544833266</v>
      </c>
      <c r="F322" s="304">
        <f t="shared" ca="1" si="126"/>
        <v>5.2711395161520409</v>
      </c>
      <c r="G322" s="306">
        <f t="shared" ca="1" si="127"/>
        <v>53.544029603006166</v>
      </c>
      <c r="H322" s="307">
        <f t="shared" ca="1" si="128"/>
        <v>344.98323639347467</v>
      </c>
      <c r="I322" s="304">
        <f t="shared" ca="1" si="129"/>
        <v>349.11373003455998</v>
      </c>
      <c r="J322" s="306">
        <f t="shared" ca="1" si="130"/>
        <v>166.98318308101364</v>
      </c>
      <c r="K322" s="307">
        <f t="shared" ca="1" si="131"/>
        <v>1190.9704798666369</v>
      </c>
      <c r="L322" s="304">
        <f t="shared" ca="1" si="116"/>
        <v>1202.6196686174872</v>
      </c>
      <c r="M322" s="306">
        <f t="shared" ca="1" si="132"/>
        <v>1.4168172768967495</v>
      </c>
      <c r="N322" s="304">
        <f t="shared" ca="1" si="133"/>
        <v>81.177650307401862</v>
      </c>
      <c r="P322" s="310">
        <f t="shared" ca="1" si="134"/>
        <v>8</v>
      </c>
      <c r="Q322" s="304">
        <f t="shared" ca="1" si="135"/>
        <v>245.86956521744796</v>
      </c>
      <c r="R322" s="306">
        <f t="shared" ca="1" si="136"/>
        <v>0.12339047929654227</v>
      </c>
      <c r="S322" s="307">
        <f t="shared" ca="1" si="137"/>
        <v>5.6761426400923716</v>
      </c>
      <c r="T322" s="304">
        <f t="shared" ca="1" si="117"/>
        <v>55.682959299306169</v>
      </c>
      <c r="U322" s="311">
        <f t="shared" ca="1" si="118"/>
        <v>0</v>
      </c>
      <c r="V322" s="306">
        <f t="shared" ca="1" si="119"/>
        <v>1.0873056136836439</v>
      </c>
      <c r="W322" s="304">
        <f t="shared" ca="1" si="120"/>
        <v>219.38127318595684</v>
      </c>
      <c r="Y322" s="314" t="str">
        <f t="shared" ca="1" si="138"/>
        <v/>
      </c>
      <c r="Z322" s="315" t="str">
        <f t="shared" ca="1" si="139"/>
        <v/>
      </c>
      <c r="AA322" s="316" t="str">
        <f t="shared" ca="1" si="140"/>
        <v/>
      </c>
      <c r="AC322" s="310" t="e">
        <f t="shared" ca="1" si="141"/>
        <v>#N/A</v>
      </c>
      <c r="AD322" s="323" t="e">
        <f t="shared" ca="1" si="142"/>
        <v>#N/A</v>
      </c>
      <c r="AE322" s="324">
        <f t="shared" ca="1" si="121"/>
        <v>1190.9704798666369</v>
      </c>
      <c r="AG322" s="306">
        <f t="shared" ca="1" si="143"/>
        <v>-5.0519728738270127</v>
      </c>
      <c r="AH322" s="304">
        <f t="shared" ca="1" si="144"/>
        <v>4.6420262039088831</v>
      </c>
    </row>
    <row r="323" spans="1:34" x14ac:dyDescent="0.2">
      <c r="A323" s="347">
        <f t="shared" ca="1" si="122"/>
        <v>0.01</v>
      </c>
      <c r="B323" s="304">
        <f t="shared" ca="1" si="123"/>
        <v>7.189999999999932</v>
      </c>
      <c r="D323" s="306">
        <f t="shared" ca="1" si="124"/>
        <v>0.49026452936185883</v>
      </c>
      <c r="E323" s="307">
        <f t="shared" ca="1" si="125"/>
        <v>-6.6512343022707068</v>
      </c>
      <c r="F323" s="304">
        <f t="shared" ca="1" si="126"/>
        <v>6.6692786006023841</v>
      </c>
      <c r="G323" s="306">
        <f t="shared" ca="1" si="127"/>
        <v>53.548932248299785</v>
      </c>
      <c r="H323" s="307">
        <f t="shared" ca="1" si="128"/>
        <v>344.91672405045199</v>
      </c>
      <c r="I323" s="304">
        <f t="shared" ca="1" si="129"/>
        <v>349.04875687306014</v>
      </c>
      <c r="J323" s="306">
        <f t="shared" ca="1" si="130"/>
        <v>167.51864789027016</v>
      </c>
      <c r="K323" s="307">
        <f t="shared" ca="1" si="131"/>
        <v>1194.4199796688565</v>
      </c>
      <c r="L323" s="304">
        <f t="shared" ca="1" si="116"/>
        <v>1206.1101049336814</v>
      </c>
      <c r="M323" s="306">
        <f t="shared" ca="1" si="132"/>
        <v>1.4167741719577527</v>
      </c>
      <c r="N323" s="304">
        <f t="shared" ca="1" si="133"/>
        <v>81.175180576321182</v>
      </c>
      <c r="P323" s="310">
        <f t="shared" ca="1" si="134"/>
        <v>8</v>
      </c>
      <c r="Q323" s="304">
        <f t="shared" ca="1" si="135"/>
        <v>237.5217391304916</v>
      </c>
      <c r="R323" s="306">
        <f t="shared" ca="1" si="136"/>
        <v>0.11920109432307982</v>
      </c>
      <c r="S323" s="307">
        <f t="shared" ca="1" si="137"/>
        <v>5.6749506291491407</v>
      </c>
      <c r="T323" s="304">
        <f t="shared" ca="1" si="117"/>
        <v>55.671265671953073</v>
      </c>
      <c r="U323" s="311">
        <f t="shared" ca="1" si="118"/>
        <v>0</v>
      </c>
      <c r="V323" s="306">
        <f t="shared" ca="1" si="119"/>
        <v>1.0869292741676428</v>
      </c>
      <c r="W323" s="304">
        <f t="shared" ca="1" si="120"/>
        <v>219.22371893606234</v>
      </c>
      <c r="Y323" s="314" t="str">
        <f t="shared" ca="1" si="138"/>
        <v/>
      </c>
      <c r="Z323" s="315" t="str">
        <f t="shared" ca="1" si="139"/>
        <v/>
      </c>
      <c r="AA323" s="316" t="str">
        <f t="shared" ca="1" si="140"/>
        <v/>
      </c>
      <c r="AC323" s="310" t="e">
        <f t="shared" ca="1" si="141"/>
        <v>#N/A</v>
      </c>
      <c r="AD323" s="323" t="e">
        <f t="shared" ca="1" si="142"/>
        <v>#N/A</v>
      </c>
      <c r="AE323" s="324">
        <f t="shared" ca="1" si="121"/>
        <v>1194.4199796688565</v>
      </c>
      <c r="AG323" s="306">
        <f t="shared" ca="1" si="143"/>
        <v>-6.4973485772405439</v>
      </c>
      <c r="AH323" s="304">
        <f t="shared" ca="1" si="144"/>
        <v>3.1965856850554837</v>
      </c>
    </row>
    <row r="324" spans="1:34" x14ac:dyDescent="0.2">
      <c r="A324" s="347">
        <f t="shared" ca="1" si="122"/>
        <v>0.01</v>
      </c>
      <c r="B324" s="304">
        <f t="shared" ca="1" si="123"/>
        <v>7.1999999999999318</v>
      </c>
      <c r="D324" s="306">
        <f t="shared" ca="1" si="124"/>
        <v>0.26904331828142819</v>
      </c>
      <c r="E324" s="307">
        <f t="shared" ca="1" si="125"/>
        <v>-8.0770515344918081</v>
      </c>
      <c r="F324" s="304">
        <f t="shared" ca="1" si="126"/>
        <v>8.0815311543016612</v>
      </c>
      <c r="G324" s="306">
        <f t="shared" ca="1" si="127"/>
        <v>53.551622681482598</v>
      </c>
      <c r="H324" s="307">
        <f t="shared" ca="1" si="128"/>
        <v>344.83595353510708</v>
      </c>
      <c r="I324" s="304">
        <f t="shared" ca="1" si="129"/>
        <v>348.96935559198664</v>
      </c>
      <c r="J324" s="306">
        <f t="shared" ca="1" si="130"/>
        <v>168.05415066491906</v>
      </c>
      <c r="K324" s="307">
        <f t="shared" ca="1" si="131"/>
        <v>1197.8687430567843</v>
      </c>
      <c r="L324" s="304">
        <f t="shared" ref="L324:L387" ca="1" si="145">SQRT(pos_x^2+pos_z^2)</f>
        <v>1209.5998194229974</v>
      </c>
      <c r="M324" s="306">
        <f t="shared" ca="1" si="132"/>
        <v>1.4167310452370785</v>
      </c>
      <c r="N324" s="304">
        <f t="shared" ca="1" si="133"/>
        <v>81.172709597242303</v>
      </c>
      <c r="P324" s="310">
        <f t="shared" ca="1" si="134"/>
        <v>8</v>
      </c>
      <c r="Q324" s="304">
        <f t="shared" ca="1" si="135"/>
        <v>229.17391304353526</v>
      </c>
      <c r="R324" s="306">
        <f t="shared" ca="1" si="136"/>
        <v>0.11501170934961737</v>
      </c>
      <c r="S324" s="307">
        <f t="shared" ca="1" si="137"/>
        <v>5.673800512055645</v>
      </c>
      <c r="T324" s="304">
        <f t="shared" ref="T324:T387" ca="1" si="146">m*g</f>
        <v>55.65998302326588</v>
      </c>
      <c r="U324" s="311">
        <f t="shared" ref="U324:U387" ca="1" si="147">IF(pos_xz&lt;L_rampe,Poids*COS(Beta),0)</f>
        <v>0</v>
      </c>
      <c r="V324" s="306">
        <f t="shared" ref="V324:V387" ca="1" si="148">Rho_moyen*(20000-Alt_rampe-pos_z)/(20000+Alt_rampe+pos_z)</f>
        <v>1.0865531374374422</v>
      </c>
      <c r="W324" s="304">
        <f t="shared" ref="W324:W387" ca="1" si="149">1/2*Rho*Sref*Cx*vit_xz^2</f>
        <v>219.04816383529675</v>
      </c>
      <c r="Y324" s="314" t="str">
        <f t="shared" ca="1" si="138"/>
        <v/>
      </c>
      <c r="Z324" s="315" t="str">
        <f t="shared" ca="1" si="139"/>
        <v/>
      </c>
      <c r="AA324" s="316" t="str">
        <f t="shared" ca="1" si="140"/>
        <v/>
      </c>
      <c r="AC324" s="310" t="e">
        <f t="shared" ca="1" si="141"/>
        <v>#N/A</v>
      </c>
      <c r="AD324" s="323" t="e">
        <f t="shared" ca="1" si="142"/>
        <v>#N/A</v>
      </c>
      <c r="AE324" s="324">
        <f t="shared" ref="AE324:AE387" ca="1" si="150">IF(t&lt;T_para, pos_z, NA())</f>
        <v>1197.8687430567843</v>
      </c>
      <c r="AG324" s="306">
        <f t="shared" ca="1" si="143"/>
        <v>-7.9401605600016616</v>
      </c>
      <c r="AH324" s="304">
        <f t="shared" ca="1" si="144"/>
        <v>1.7537088387811368</v>
      </c>
    </row>
    <row r="325" spans="1:34" x14ac:dyDescent="0.2">
      <c r="A325" s="347">
        <f t="shared" ref="A325:A388" ca="1" si="151">IF(B324+0.01&lt;=T_ini+ROUNDUP(Temps_fin_propu,0), 0.01, IF(K324&gt;0, 0.1, 0.0001))</f>
        <v>0.01</v>
      </c>
      <c r="B325" s="304">
        <f t="shared" ref="B325:B388" ca="1" si="152">B324+pas</f>
        <v>7.2099999999999316</v>
      </c>
      <c r="D325" s="306">
        <f t="shared" ref="D325:D388" ca="1" si="153">IF(AND(L324&lt;L_rampe,Poussee&lt;Poids*SIN(M324)),0,(-W324+Poussee)/m*COS(M324)-U324/m*SIN(M324))</f>
        <v>8.185639944032963E-2</v>
      </c>
      <c r="E325" s="307">
        <f t="shared" ref="E325:E388" ca="1" si="154">IF(AND(L324&lt;L_rampe,Poussee&lt;Poids*SIN(M324)),0,(-W324+Poussee)/m*SIN(M324)+U324/m*COS(M324)-Poids/m)</f>
        <v>-9.2829005744261579</v>
      </c>
      <c r="F325" s="304">
        <f t="shared" ref="F325:F388" ca="1" si="155">SQRT(acc_x^2+acc_z^2)</f>
        <v>9.2832614713154999</v>
      </c>
      <c r="G325" s="306">
        <f t="shared" ref="G325:G388" ca="1" si="156">G324+acc_x*pas</f>
        <v>53.552441245476999</v>
      </c>
      <c r="H325" s="307">
        <f t="shared" ref="H325:H388" ca="1" si="157">H324+acc_z*pas</f>
        <v>344.74312452936283</v>
      </c>
      <c r="I325" s="304">
        <f t="shared" ref="I325:I388" ca="1" si="158">SQRT(vit_x^2+vit_z^2)</f>
        <v>348.87775204735834</v>
      </c>
      <c r="J325" s="306">
        <f t="shared" ref="J325:J388" ca="1" si="159">J324+0.5*(vit_x+G324)*pas*(K324&gt;=0)</f>
        <v>168.58967098455386</v>
      </c>
      <c r="K325" s="307">
        <f t="shared" ref="K325:K388" ca="1" si="160">K324+0.5*(vit_z+H324)*pas</f>
        <v>1201.3166384471067</v>
      </c>
      <c r="L325" s="304">
        <f t="shared" ca="1" si="145"/>
        <v>1213.0886789400586</v>
      </c>
      <c r="M325" s="306">
        <f t="shared" ref="M325:M388" ca="1" si="161">IF(AND(L324&gt;L_rampe,G325&gt;0),ATAN2(G325,H325),$M$4)</f>
        <v>1.4166878952096891</v>
      </c>
      <c r="N325" s="304">
        <f t="shared" ref="N325:N388" ca="1" si="162">DEGREES(Beta)</f>
        <v>81.170237282787014</v>
      </c>
      <c r="P325" s="310">
        <f t="shared" ref="P325:P388" ca="1" si="163">MATCH(t-pas/2-T_ini,CdP_t)</f>
        <v>9</v>
      </c>
      <c r="Q325" s="304">
        <f t="shared" ref="Q325:Q388" ca="1" si="164">(INDEX(CdP,2,i_P+1)-INDEX(CdP,2,i_P+0))/(INDEX(CdP,1,i_P+1)-INDEX(CdP,1,i_P+0))*(t-pas/2-T_ini-INDEX(CdP,1,i_P+0))+INDEX(CdP,2,i_P+0)</f>
        <v>222.07407407411415</v>
      </c>
      <c r="R325" s="306">
        <f t="shared" ref="R325:R388" ca="1" si="165">Poussee/(g*ISP)</f>
        <v>0.11144863096457872</v>
      </c>
      <c r="S325" s="307">
        <f t="shared" ref="S325:S388" ca="1" si="166">S324-Débit*pas</f>
        <v>5.6726860257459988</v>
      </c>
      <c r="T325" s="304">
        <f t="shared" ca="1" si="146"/>
        <v>55.649049912568252</v>
      </c>
      <c r="U325" s="311">
        <f t="shared" ca="1" si="147"/>
        <v>0</v>
      </c>
      <c r="V325" s="306">
        <f t="shared" ca="1" si="148"/>
        <v>1.0861772176989197</v>
      </c>
      <c r="W325" s="304">
        <f t="shared" ca="1" si="149"/>
        <v>218.85743447719514</v>
      </c>
      <c r="Y325" s="314" t="str">
        <f t="shared" ref="Y325:Y388" ca="1" si="167">IF(AND(pos_z&lt;=0,K324&gt;0),"Impact balistique","") &amp; IF(AND(H326&lt;0,vit_z&gt;=0),"Apogée","") &amp; IF(AND(Poussee=0,Q324&gt;0),"Fin de propulsion","") &amp; IF(AND(L326&gt;L_rampe,pos_xz&lt;=L_rampe),"Sortie de rampe","")</f>
        <v/>
      </c>
      <c r="Z325" s="315" t="str">
        <f t="shared" ref="Z325:Z388" ca="1" si="168">IF(ABS(t-T_para)&lt;pas/2,"Para","")</f>
        <v/>
      </c>
      <c r="AA325" s="316" t="str">
        <f t="shared" ref="AA325:AA388" ca="1" si="169">IF(ABS(t-T_satellite)&lt;pas/2,"Satellite","")</f>
        <v/>
      </c>
      <c r="AC325" s="310" t="e">
        <f t="shared" ref="AC325:AC388" ca="1" si="170">IF(ABS(t-ROUND(t,0))&lt;0.001,t,NA())</f>
        <v>#N/A</v>
      </c>
      <c r="AD325" s="323" t="e">
        <f t="shared" ref="AD325:AD388" ca="1" si="171">IF(ABS(t-ROUND(t,0))&lt;0.001,pos_x,NA())</f>
        <v>#N/A</v>
      </c>
      <c r="AE325" s="324">
        <f t="shared" ca="1" si="150"/>
        <v>1201.3166384471067</v>
      </c>
      <c r="AG325" s="306">
        <f t="shared" ref="AG325:AG388" ca="1" si="172">IF(AND(L324&lt;L_rampe,Poussee&lt;Poids*SIN(M324)),0,(-W324+Poussee)/m-Poids*SIN(M324)/m)</f>
        <v>-9.1603869420399882</v>
      </c>
      <c r="AH325" s="304">
        <f t="shared" ref="AH325:AH388" ca="1" si="173">IF(AND(L324&lt;L_rampe,Poussee&lt;Poids*SIN(M324)), g*SIN(M324), (-W324+Poussee)/m)</f>
        <v>0.53341754242770278</v>
      </c>
    </row>
    <row r="326" spans="1:34" x14ac:dyDescent="0.2">
      <c r="A326" s="347">
        <f t="shared" ca="1" si="151"/>
        <v>0.01</v>
      </c>
      <c r="B326" s="304">
        <f t="shared" ca="1" si="152"/>
        <v>7.2199999999999314</v>
      </c>
      <c r="D326" s="306">
        <f t="shared" ca="1" si="153"/>
        <v>-7.1320755703391497E-2</v>
      </c>
      <c r="E326" s="307">
        <f t="shared" ca="1" si="154"/>
        <v>-10.269126411292394</v>
      </c>
      <c r="F326" s="304">
        <f t="shared" ca="1" si="155"/>
        <v>10.269374075438925</v>
      </c>
      <c r="G326" s="306">
        <f t="shared" ca="1" si="156"/>
        <v>53.551728037919965</v>
      </c>
      <c r="H326" s="307">
        <f t="shared" ca="1" si="157"/>
        <v>344.6404332652499</v>
      </c>
      <c r="I326" s="304">
        <f t="shared" ca="1" si="158"/>
        <v>348.77616864847073</v>
      </c>
      <c r="J326" s="306">
        <f t="shared" ca="1" si="159"/>
        <v>169.12519183097083</v>
      </c>
      <c r="K326" s="307">
        <f t="shared" ca="1" si="160"/>
        <v>1204.7635562360797</v>
      </c>
      <c r="L326" s="304">
        <f t="shared" ca="1" si="145"/>
        <v>1216.5765725783431</v>
      </c>
      <c r="M326" s="306">
        <f t="shared" ca="1" si="161"/>
        <v>1.4166447206215855</v>
      </c>
      <c r="N326" s="304">
        <f t="shared" ca="1" si="162"/>
        <v>81.167763561106469</v>
      </c>
      <c r="P326" s="310">
        <f t="shared" ca="1" si="163"/>
        <v>9</v>
      </c>
      <c r="Q326" s="304">
        <f t="shared" ca="1" si="164"/>
        <v>216.22222222226242</v>
      </c>
      <c r="R326" s="306">
        <f t="shared" ca="1" si="165"/>
        <v>0.10851185916798101</v>
      </c>
      <c r="S326" s="307">
        <f t="shared" ca="1" si="166"/>
        <v>5.6716009071543194</v>
      </c>
      <c r="T326" s="304">
        <f t="shared" ca="1" si="146"/>
        <v>55.638404899183875</v>
      </c>
      <c r="U326" s="311">
        <f t="shared" ca="1" si="147"/>
        <v>0</v>
      </c>
      <c r="V326" s="306">
        <f t="shared" ca="1" si="148"/>
        <v>1.0858015267441949</v>
      </c>
      <c r="W326" s="304">
        <f t="shared" ca="1" si="149"/>
        <v>218.65434762634976</v>
      </c>
      <c r="Y326" s="314" t="str">
        <f t="shared" ca="1" si="167"/>
        <v/>
      </c>
      <c r="Z326" s="315" t="str">
        <f t="shared" ca="1" si="168"/>
        <v/>
      </c>
      <c r="AA326" s="316" t="str">
        <f t="shared" ca="1" si="169"/>
        <v/>
      </c>
      <c r="AC326" s="310" t="e">
        <f t="shared" ca="1" si="170"/>
        <v>#N/A</v>
      </c>
      <c r="AD326" s="323" t="e">
        <f t="shared" ca="1" si="171"/>
        <v>#N/A</v>
      </c>
      <c r="AE326" s="324">
        <f t="shared" ca="1" si="150"/>
        <v>1204.7635562360797</v>
      </c>
      <c r="AG326" s="306">
        <f t="shared" ca="1" si="172"/>
        <v>-10.158372395480949</v>
      </c>
      <c r="AH326" s="304">
        <f t="shared" ca="1" si="173"/>
        <v>-0.46463287845387585</v>
      </c>
    </row>
    <row r="327" spans="1:34" x14ac:dyDescent="0.2">
      <c r="A327" s="347">
        <f t="shared" ca="1" si="151"/>
        <v>0.01</v>
      </c>
      <c r="B327" s="304">
        <f t="shared" ca="1" si="152"/>
        <v>7.2299999999999311</v>
      </c>
      <c r="D327" s="306">
        <f t="shared" ca="1" si="153"/>
        <v>-0.22430593841028462</v>
      </c>
      <c r="E327" s="307">
        <f t="shared" ca="1" si="154"/>
        <v>-11.253555579438061</v>
      </c>
      <c r="F327" s="304">
        <f t="shared" ca="1" si="155"/>
        <v>11.255790791122037</v>
      </c>
      <c r="G327" s="306">
        <f t="shared" ca="1" si="156"/>
        <v>53.549484978535865</v>
      </c>
      <c r="H327" s="307">
        <f t="shared" ca="1" si="157"/>
        <v>344.52789770945549</v>
      </c>
      <c r="I327" s="304">
        <f t="shared" ca="1" si="158"/>
        <v>348.66462344431142</v>
      </c>
      <c r="J327" s="306">
        <f t="shared" ca="1" si="159"/>
        <v>169.66069789605311</v>
      </c>
      <c r="K327" s="307">
        <f t="shared" ca="1" si="160"/>
        <v>1208.2093978909531</v>
      </c>
      <c r="L327" s="304">
        <f t="shared" ca="1" si="145"/>
        <v>1220.0634006323587</v>
      </c>
      <c r="M327" s="306">
        <f t="shared" ca="1" si="161"/>
        <v>1.4166015202174522</v>
      </c>
      <c r="N327" s="304">
        <f t="shared" ca="1" si="162"/>
        <v>81.165288360276378</v>
      </c>
      <c r="P327" s="310">
        <f t="shared" ca="1" si="163"/>
        <v>9</v>
      </c>
      <c r="Q327" s="304">
        <f t="shared" ca="1" si="164"/>
        <v>210.37037037041071</v>
      </c>
      <c r="R327" s="306">
        <f t="shared" ca="1" si="165"/>
        <v>0.1055750873713833</v>
      </c>
      <c r="S327" s="307">
        <f t="shared" ca="1" si="166"/>
        <v>5.670545156280606</v>
      </c>
      <c r="T327" s="304">
        <f t="shared" ca="1" si="146"/>
        <v>55.628047983112751</v>
      </c>
      <c r="U327" s="311">
        <f t="shared" ca="1" si="147"/>
        <v>0</v>
      </c>
      <c r="V327" s="306">
        <f t="shared" ca="1" si="148"/>
        <v>1.0854260751439391</v>
      </c>
      <c r="W327" s="304">
        <f t="shared" ca="1" si="149"/>
        <v>218.43895183241528</v>
      </c>
      <c r="Y327" s="314" t="str">
        <f t="shared" ca="1" si="167"/>
        <v/>
      </c>
      <c r="Z327" s="315" t="str">
        <f t="shared" ca="1" si="168"/>
        <v/>
      </c>
      <c r="AA327" s="316" t="str">
        <f t="shared" ca="1" si="169"/>
        <v/>
      </c>
      <c r="AC327" s="310" t="e">
        <f t="shared" ca="1" si="170"/>
        <v>#N/A</v>
      </c>
      <c r="AD327" s="323" t="e">
        <f t="shared" ca="1" si="171"/>
        <v>#N/A</v>
      </c>
      <c r="AE327" s="324">
        <f t="shared" ca="1" si="150"/>
        <v>1208.2093978909531</v>
      </c>
      <c r="AG327" s="306">
        <f t="shared" ca="1" si="172"/>
        <v>-11.154552951134381</v>
      </c>
      <c r="AH327" s="304">
        <f t="shared" ca="1" si="173"/>
        <v>-1.4608784565913997</v>
      </c>
    </row>
    <row r="328" spans="1:34" x14ac:dyDescent="0.2">
      <c r="A328" s="347">
        <f t="shared" ca="1" si="151"/>
        <v>0.01</v>
      </c>
      <c r="B328" s="304">
        <f t="shared" ca="1" si="152"/>
        <v>7.2399999999999309</v>
      </c>
      <c r="D328" s="306">
        <f t="shared" ca="1" si="153"/>
        <v>-0.37709777502787162</v>
      </c>
      <c r="E328" s="307">
        <f t="shared" ca="1" si="154"/>
        <v>-12.236180265101368</v>
      </c>
      <c r="F328" s="304">
        <f t="shared" ca="1" si="155"/>
        <v>12.241989634531928</v>
      </c>
      <c r="G328" s="306">
        <f t="shared" ca="1" si="156"/>
        <v>53.545714000785587</v>
      </c>
      <c r="H328" s="307">
        <f t="shared" ca="1" si="157"/>
        <v>344.40553590680446</v>
      </c>
      <c r="I328" s="304">
        <f t="shared" ca="1" si="158"/>
        <v>348.54313456315145</v>
      </c>
      <c r="J328" s="306">
        <f t="shared" ca="1" si="159"/>
        <v>170.19617389094972</v>
      </c>
      <c r="K328" s="307">
        <f t="shared" ca="1" si="160"/>
        <v>1211.6540650590343</v>
      </c>
      <c r="L328" s="304">
        <f t="shared" ca="1" si="145"/>
        <v>1223.5490635774281</v>
      </c>
      <c r="M328" s="306">
        <f t="shared" ca="1" si="161"/>
        <v>1.4165582927404539</v>
      </c>
      <c r="N328" s="304">
        <f t="shared" ca="1" si="162"/>
        <v>81.162811608285367</v>
      </c>
      <c r="P328" s="310">
        <f t="shared" ca="1" si="163"/>
        <v>9</v>
      </c>
      <c r="Q328" s="304">
        <f t="shared" ca="1" si="164"/>
        <v>204.51851851855898</v>
      </c>
      <c r="R328" s="306">
        <f t="shared" ca="1" si="165"/>
        <v>0.10263831557478559</v>
      </c>
      <c r="S328" s="307">
        <f t="shared" ca="1" si="166"/>
        <v>5.6695187731248584</v>
      </c>
      <c r="T328" s="304">
        <f t="shared" ca="1" si="146"/>
        <v>55.617979164354864</v>
      </c>
      <c r="U328" s="311">
        <f t="shared" ca="1" si="147"/>
        <v>0</v>
      </c>
      <c r="V328" s="306">
        <f t="shared" ca="1" si="148"/>
        <v>1.0850508734354389</v>
      </c>
      <c r="W328" s="304">
        <f t="shared" ca="1" si="149"/>
        <v>218.21129671139778</v>
      </c>
      <c r="Y328" s="314" t="str">
        <f t="shared" ca="1" si="167"/>
        <v/>
      </c>
      <c r="Z328" s="315" t="str">
        <f t="shared" ca="1" si="168"/>
        <v/>
      </c>
      <c r="AA328" s="316" t="str">
        <f t="shared" ca="1" si="169"/>
        <v/>
      </c>
      <c r="AC328" s="310" t="e">
        <f t="shared" ca="1" si="170"/>
        <v>#N/A</v>
      </c>
      <c r="AD328" s="323" t="e">
        <f t="shared" ca="1" si="171"/>
        <v>#N/A</v>
      </c>
      <c r="AE328" s="324">
        <f t="shared" ca="1" si="150"/>
        <v>1211.6540650590343</v>
      </c>
      <c r="AG328" s="306">
        <f t="shared" ca="1" si="172"/>
        <v>-12.148920680635534</v>
      </c>
      <c r="AH328" s="304">
        <f t="shared" ca="1" si="173"/>
        <v>-2.4553112655421736</v>
      </c>
    </row>
    <row r="329" spans="1:34" x14ac:dyDescent="0.2">
      <c r="A329" s="347">
        <f t="shared" ca="1" si="151"/>
        <v>0.01</v>
      </c>
      <c r="B329" s="304">
        <f t="shared" ca="1" si="152"/>
        <v>7.2499999999999307</v>
      </c>
      <c r="D329" s="306">
        <f t="shared" ca="1" si="153"/>
        <v>-0.52969493187999517</v>
      </c>
      <c r="E329" s="307">
        <f t="shared" ca="1" si="154"/>
        <v>-13.216992889824414</v>
      </c>
      <c r="F329" s="304">
        <f t="shared" ca="1" si="155"/>
        <v>13.227602873178816</v>
      </c>
      <c r="G329" s="306">
        <f t="shared" ca="1" si="156"/>
        <v>53.54041705146679</v>
      </c>
      <c r="H329" s="307">
        <f t="shared" ca="1" si="157"/>
        <v>344.27336597790622</v>
      </c>
      <c r="I329" s="304">
        <f t="shared" ca="1" si="158"/>
        <v>348.41172021015933</v>
      </c>
      <c r="J329" s="306">
        <f t="shared" ca="1" si="159"/>
        <v>170.73160454621097</v>
      </c>
      <c r="K329" s="307">
        <f t="shared" ca="1" si="160"/>
        <v>1215.0974595684579</v>
      </c>
      <c r="L329" s="304">
        <f t="shared" ca="1" si="145"/>
        <v>1227.0334620704703</v>
      </c>
      <c r="M329" s="306">
        <f t="shared" ca="1" si="161"/>
        <v>1.416515036932033</v>
      </c>
      <c r="N329" s="304">
        <f t="shared" ca="1" si="162"/>
        <v>81.160333233023422</v>
      </c>
      <c r="P329" s="310">
        <f t="shared" ca="1" si="163"/>
        <v>9</v>
      </c>
      <c r="Q329" s="304">
        <f t="shared" ca="1" si="164"/>
        <v>198.66666666670724</v>
      </c>
      <c r="R329" s="306">
        <f t="shared" ca="1" si="165"/>
        <v>9.9701543778187865E-2</v>
      </c>
      <c r="S329" s="307">
        <f t="shared" ca="1" si="166"/>
        <v>5.6685217576870768</v>
      </c>
      <c r="T329" s="304">
        <f t="shared" ca="1" si="146"/>
        <v>55.608198442910229</v>
      </c>
      <c r="U329" s="311">
        <f t="shared" ca="1" si="147"/>
        <v>0</v>
      </c>
      <c r="V329" s="306">
        <f t="shared" ca="1" si="148"/>
        <v>1.0846759321225727</v>
      </c>
      <c r="W329" s="304">
        <f t="shared" ca="1" si="149"/>
        <v>217.97143293294496</v>
      </c>
      <c r="Y329" s="314" t="str">
        <f t="shared" ca="1" si="167"/>
        <v/>
      </c>
      <c r="Z329" s="315" t="str">
        <f t="shared" ca="1" si="168"/>
        <v/>
      </c>
      <c r="AA329" s="316" t="str">
        <f t="shared" ca="1" si="169"/>
        <v/>
      </c>
      <c r="AC329" s="310" t="e">
        <f t="shared" ca="1" si="170"/>
        <v>#N/A</v>
      </c>
      <c r="AD329" s="323" t="e">
        <f t="shared" ca="1" si="171"/>
        <v>#N/A</v>
      </c>
      <c r="AE329" s="324">
        <f t="shared" ca="1" si="150"/>
        <v>1215.0974595684579</v>
      </c>
      <c r="AG329" s="306">
        <f t="shared" ca="1" si="172"/>
        <v>-13.141467894260332</v>
      </c>
      <c r="AH329" s="304">
        <f t="shared" ca="1" si="173"/>
        <v>-3.4479236175085828</v>
      </c>
    </row>
    <row r="330" spans="1:34" x14ac:dyDescent="0.2">
      <c r="A330" s="347">
        <f t="shared" ca="1" si="151"/>
        <v>0.01</v>
      </c>
      <c r="B330" s="304">
        <f t="shared" ca="1" si="152"/>
        <v>7.2599999999999305</v>
      </c>
      <c r="D330" s="306">
        <f t="shared" ca="1" si="153"/>
        <v>-0.68209611505121914</v>
      </c>
      <c r="E330" s="307">
        <f t="shared" ca="1" si="154"/>
        <v>-14.195986108838188</v>
      </c>
      <c r="F330" s="304">
        <f t="shared" ca="1" si="155"/>
        <v>14.212363516055124</v>
      </c>
      <c r="G330" s="306">
        <f t="shared" ca="1" si="156"/>
        <v>53.53359609031628</v>
      </c>
      <c r="H330" s="307">
        <f t="shared" ca="1" si="157"/>
        <v>344.13140611681786</v>
      </c>
      <c r="I330" s="304">
        <f t="shared" ca="1" si="158"/>
        <v>348.2703986650306</v>
      </c>
      <c r="J330" s="306">
        <f t="shared" ca="1" si="159"/>
        <v>171.26697461191989</v>
      </c>
      <c r="K330" s="307">
        <f t="shared" ca="1" si="160"/>
        <v>1218.5394834289316</v>
      </c>
      <c r="L330" s="304">
        <f t="shared" ca="1" si="145"/>
        <v>1230.5164969507589</v>
      </c>
      <c r="M330" s="306">
        <f t="shared" ca="1" si="161"/>
        <v>1.4164717515317071</v>
      </c>
      <c r="N330" s="304">
        <f t="shared" ca="1" si="162"/>
        <v>81.157853162270214</v>
      </c>
      <c r="P330" s="310">
        <f t="shared" ca="1" si="163"/>
        <v>9</v>
      </c>
      <c r="Q330" s="304">
        <f t="shared" ca="1" si="164"/>
        <v>192.81481481485554</v>
      </c>
      <c r="R330" s="306">
        <f t="shared" ca="1" si="165"/>
        <v>9.676477198159017E-2</v>
      </c>
      <c r="S330" s="307">
        <f t="shared" ca="1" si="166"/>
        <v>5.6675541099672611</v>
      </c>
      <c r="T330" s="304">
        <f t="shared" ca="1" si="146"/>
        <v>55.598705818778832</v>
      </c>
      <c r="U330" s="311">
        <f t="shared" ca="1" si="147"/>
        <v>0</v>
      </c>
      <c r="V330" s="306">
        <f t="shared" ca="1" si="148"/>
        <v>1.0843012616757901</v>
      </c>
      <c r="W330" s="304">
        <f t="shared" ca="1" si="149"/>
        <v>217.71941220767002</v>
      </c>
      <c r="Y330" s="314" t="str">
        <f t="shared" ca="1" si="167"/>
        <v/>
      </c>
      <c r="Z330" s="315" t="str">
        <f t="shared" ca="1" si="168"/>
        <v/>
      </c>
      <c r="AA330" s="316" t="str">
        <f t="shared" ca="1" si="169"/>
        <v/>
      </c>
      <c r="AC330" s="310" t="e">
        <f t="shared" ca="1" si="170"/>
        <v>#N/A</v>
      </c>
      <c r="AD330" s="323" t="e">
        <f t="shared" ca="1" si="171"/>
        <v>#N/A</v>
      </c>
      <c r="AE330" s="324">
        <f t="shared" ca="1" si="150"/>
        <v>1218.5394834289316</v>
      </c>
      <c r="AG330" s="306">
        <f t="shared" ca="1" si="172"/>
        <v>-14.132187139296974</v>
      </c>
      <c r="AH330" s="304">
        <f t="shared" ca="1" si="173"/>
        <v>-4.4387080617100176</v>
      </c>
    </row>
    <row r="331" spans="1:34" x14ac:dyDescent="0.2">
      <c r="A331" s="347">
        <f t="shared" ca="1" si="151"/>
        <v>0.01</v>
      </c>
      <c r="B331" s="304">
        <f t="shared" ca="1" si="152"/>
        <v>7.2699999999999303</v>
      </c>
      <c r="D331" s="306">
        <f t="shared" ca="1" si="153"/>
        <v>-0.83430007016967433</v>
      </c>
      <c r="E331" s="307">
        <f t="shared" ca="1" si="154"/>
        <v>-15.173152809433351</v>
      </c>
      <c r="F331" s="304">
        <f t="shared" ca="1" si="155"/>
        <v>15.196072610562911</v>
      </c>
      <c r="G331" s="306">
        <f t="shared" ca="1" si="156"/>
        <v>53.52525308961458</v>
      </c>
      <c r="H331" s="307">
        <f t="shared" ca="1" si="157"/>
        <v>343.97967458872353</v>
      </c>
      <c r="I331" s="304">
        <f t="shared" ca="1" si="158"/>
        <v>348.11918827963422</v>
      </c>
      <c r="J331" s="306">
        <f t="shared" ca="1" si="159"/>
        <v>171.80226885781954</v>
      </c>
      <c r="K331" s="307">
        <f t="shared" ca="1" si="160"/>
        <v>1221.9800388324593</v>
      </c>
      <c r="L331" s="304">
        <f t="shared" ca="1" si="145"/>
        <v>1233.9980692406584</v>
      </c>
      <c r="M331" s="306">
        <f t="shared" ca="1" si="161"/>
        <v>1.416428435276865</v>
      </c>
      <c r="N331" s="304">
        <f t="shared" ca="1" si="162"/>
        <v>81.155371323683454</v>
      </c>
      <c r="P331" s="310">
        <f t="shared" ca="1" si="163"/>
        <v>9</v>
      </c>
      <c r="Q331" s="304">
        <f t="shared" ca="1" si="164"/>
        <v>186.9629629630038</v>
      </c>
      <c r="R331" s="306">
        <f t="shared" ca="1" si="165"/>
        <v>9.3828000184992447E-2</v>
      </c>
      <c r="S331" s="307">
        <f t="shared" ca="1" si="166"/>
        <v>5.6666158299654112</v>
      </c>
      <c r="T331" s="304">
        <f t="shared" ca="1" si="146"/>
        <v>55.589501291960687</v>
      </c>
      <c r="U331" s="311">
        <f t="shared" ca="1" si="147"/>
        <v>0</v>
      </c>
      <c r="V331" s="306">
        <f t="shared" ca="1" si="148"/>
        <v>1.0839268725320961</v>
      </c>
      <c r="W331" s="304">
        <f t="shared" ca="1" si="149"/>
        <v>217.45528727451236</v>
      </c>
      <c r="Y331" s="314" t="str">
        <f t="shared" ca="1" si="167"/>
        <v/>
      </c>
      <c r="Z331" s="315" t="str">
        <f t="shared" ca="1" si="168"/>
        <v/>
      </c>
      <c r="AA331" s="316" t="str">
        <f t="shared" ca="1" si="169"/>
        <v/>
      </c>
      <c r="AC331" s="310" t="e">
        <f t="shared" ca="1" si="170"/>
        <v>#N/A</v>
      </c>
      <c r="AD331" s="323" t="e">
        <f t="shared" ca="1" si="171"/>
        <v>#N/A</v>
      </c>
      <c r="AE331" s="324">
        <f t="shared" ca="1" si="150"/>
        <v>1221.9800388324593</v>
      </c>
      <c r="AG331" s="306">
        <f t="shared" ca="1" si="172"/>
        <v>-15.121071198403303</v>
      </c>
      <c r="AH331" s="304">
        <f t="shared" ca="1" si="173"/>
        <v>-5.4276573827405468</v>
      </c>
    </row>
    <row r="332" spans="1:34" x14ac:dyDescent="0.2">
      <c r="A332" s="347">
        <f t="shared" ca="1" si="151"/>
        <v>0.01</v>
      </c>
      <c r="B332" s="304">
        <f t="shared" ca="1" si="152"/>
        <v>7.2799999999999301</v>
      </c>
      <c r="D332" s="306">
        <f t="shared" ca="1" si="153"/>
        <v>-0.9863055821884672</v>
      </c>
      <c r="E332" s="307">
        <f t="shared" ca="1" si="154"/>
        <v>-16.148486109317595</v>
      </c>
      <c r="F332" s="304">
        <f t="shared" ca="1" si="155"/>
        <v>16.178578501347992</v>
      </c>
      <c r="G332" s="306">
        <f t="shared" ca="1" si="156"/>
        <v>53.515390033792698</v>
      </c>
      <c r="H332" s="307">
        <f t="shared" ca="1" si="157"/>
        <v>343.81818972763034</v>
      </c>
      <c r="I332" s="304">
        <f t="shared" ca="1" si="158"/>
        <v>347.95810747567555</v>
      </c>
      <c r="J332" s="306">
        <f t="shared" ca="1" si="159"/>
        <v>172.33747207343657</v>
      </c>
      <c r="K332" s="307">
        <f t="shared" ca="1" si="160"/>
        <v>1225.4190281540411</v>
      </c>
      <c r="L332" s="304">
        <f t="shared" ca="1" si="145"/>
        <v>1237.4780801463344</v>
      </c>
      <c r="M332" s="306">
        <f t="shared" ca="1" si="161"/>
        <v>1.4163850869025618</v>
      </c>
      <c r="N332" s="304">
        <f t="shared" ca="1" si="162"/>
        <v>81.152887644787128</v>
      </c>
      <c r="P332" s="310">
        <f t="shared" ca="1" si="163"/>
        <v>9</v>
      </c>
      <c r="Q332" s="304">
        <f t="shared" ca="1" si="164"/>
        <v>181.11111111115207</v>
      </c>
      <c r="R332" s="306">
        <f t="shared" ca="1" si="165"/>
        <v>9.0891228388394738E-2</v>
      </c>
      <c r="S332" s="307">
        <f t="shared" ca="1" si="166"/>
        <v>5.6657069176815273</v>
      </c>
      <c r="T332" s="304">
        <f t="shared" ca="1" si="146"/>
        <v>55.580584862455787</v>
      </c>
      <c r="U332" s="311">
        <f t="shared" ca="1" si="147"/>
        <v>0</v>
      </c>
      <c r="V332" s="306">
        <f t="shared" ca="1" si="148"/>
        <v>1.0835527750950367</v>
      </c>
      <c r="W332" s="304">
        <f t="shared" ca="1" si="149"/>
        <v>217.17911188813724</v>
      </c>
      <c r="Y332" s="314" t="str">
        <f t="shared" ca="1" si="167"/>
        <v/>
      </c>
      <c r="Z332" s="315" t="str">
        <f t="shared" ca="1" si="168"/>
        <v/>
      </c>
      <c r="AA332" s="316" t="str">
        <f t="shared" ca="1" si="169"/>
        <v/>
      </c>
      <c r="AC332" s="310" t="e">
        <f t="shared" ca="1" si="170"/>
        <v>#N/A</v>
      </c>
      <c r="AD332" s="323" t="e">
        <f t="shared" ca="1" si="171"/>
        <v>#N/A</v>
      </c>
      <c r="AE332" s="324">
        <f t="shared" ca="1" si="150"/>
        <v>1225.4190281540411</v>
      </c>
      <c r="AG332" s="306">
        <f t="shared" ca="1" si="172"/>
        <v>-16.108113087950631</v>
      </c>
      <c r="AH332" s="304">
        <f t="shared" ca="1" si="173"/>
        <v>-6.4147645989130595</v>
      </c>
    </row>
    <row r="333" spans="1:34" x14ac:dyDescent="0.2">
      <c r="A333" s="347">
        <f t="shared" ca="1" si="151"/>
        <v>0.01</v>
      </c>
      <c r="B333" s="304">
        <f t="shared" ca="1" si="152"/>
        <v>7.2899999999999299</v>
      </c>
      <c r="D333" s="306">
        <f t="shared" ca="1" si="153"/>
        <v>-1.1381114751657404</v>
      </c>
      <c r="E333" s="307">
        <f t="shared" ca="1" si="154"/>
        <v>-17.121979354960065</v>
      </c>
      <c r="F333" s="304">
        <f t="shared" ca="1" si="155"/>
        <v>17.159763248995674</v>
      </c>
      <c r="G333" s="306">
        <f t="shared" ca="1" si="156"/>
        <v>53.504008919041041</v>
      </c>
      <c r="H333" s="307">
        <f t="shared" ca="1" si="157"/>
        <v>343.64696993408074</v>
      </c>
      <c r="I333" s="304">
        <f t="shared" ca="1" si="158"/>
        <v>347.78717474237578</v>
      </c>
      <c r="J333" s="306">
        <f t="shared" ca="1" si="159"/>
        <v>172.87256906820073</v>
      </c>
      <c r="K333" s="307">
        <f t="shared" ca="1" si="160"/>
        <v>1228.8563539523498</v>
      </c>
      <c r="L333" s="304">
        <f t="shared" ca="1" si="145"/>
        <v>1240.9564310584408</v>
      </c>
      <c r="M333" s="306">
        <f t="shared" ca="1" si="161"/>
        <v>1.4163417051413147</v>
      </c>
      <c r="N333" s="304">
        <f t="shared" ca="1" si="162"/>
        <v>81.150402052959819</v>
      </c>
      <c r="P333" s="310">
        <f t="shared" ca="1" si="163"/>
        <v>9</v>
      </c>
      <c r="Q333" s="304">
        <f t="shared" ca="1" si="164"/>
        <v>175.25925925930034</v>
      </c>
      <c r="R333" s="306">
        <f t="shared" ca="1" si="165"/>
        <v>8.7954456591797014E-2</v>
      </c>
      <c r="S333" s="307">
        <f t="shared" ca="1" si="166"/>
        <v>5.6648273731156094</v>
      </c>
      <c r="T333" s="304">
        <f t="shared" ca="1" si="146"/>
        <v>55.571956530264131</v>
      </c>
      <c r="U333" s="311">
        <f t="shared" ca="1" si="147"/>
        <v>0</v>
      </c>
      <c r="V333" s="306">
        <f t="shared" ca="1" si="148"/>
        <v>1.0831789797346889</v>
      </c>
      <c r="W333" s="304">
        <f t="shared" ca="1" si="149"/>
        <v>216.89094080637622</v>
      </c>
      <c r="Y333" s="314" t="str">
        <f t="shared" ca="1" si="167"/>
        <v/>
      </c>
      <c r="Z333" s="315" t="str">
        <f t="shared" ca="1" si="168"/>
        <v/>
      </c>
      <c r="AA333" s="316" t="str">
        <f t="shared" ca="1" si="169"/>
        <v/>
      </c>
      <c r="AC333" s="310" t="e">
        <f t="shared" ca="1" si="170"/>
        <v>#N/A</v>
      </c>
      <c r="AD333" s="323" t="e">
        <f t="shared" ca="1" si="171"/>
        <v>#N/A</v>
      </c>
      <c r="AE333" s="324">
        <f t="shared" ca="1" si="150"/>
        <v>1228.8563539523498</v>
      </c>
      <c r="AG333" s="306">
        <f t="shared" ca="1" si="172"/>
        <v>-17.093306056354628</v>
      </c>
      <c r="AH333" s="304">
        <f t="shared" ca="1" si="173"/>
        <v>-7.4000229605904702</v>
      </c>
    </row>
    <row r="334" spans="1:34" x14ac:dyDescent="0.2">
      <c r="A334" s="347">
        <f t="shared" ca="1" si="151"/>
        <v>0.01</v>
      </c>
      <c r="B334" s="304">
        <f t="shared" ca="1" si="152"/>
        <v>7.2999999999999297</v>
      </c>
      <c r="D334" s="306">
        <f t="shared" ca="1" si="153"/>
        <v>-1.2897166120434509</v>
      </c>
      <c r="E334" s="307">
        <f t="shared" ca="1" si="154"/>
        <v>-18.09362611992335</v>
      </c>
      <c r="F334" s="304">
        <f t="shared" ca="1" si="155"/>
        <v>18.139533486475152</v>
      </c>
      <c r="G334" s="306">
        <f t="shared" ca="1" si="156"/>
        <v>53.491111752920609</v>
      </c>
      <c r="H334" s="307">
        <f t="shared" ca="1" si="157"/>
        <v>343.46603367288151</v>
      </c>
      <c r="I334" s="304">
        <f t="shared" ca="1" si="158"/>
        <v>347.60640863416836</v>
      </c>
      <c r="J334" s="306">
        <f t="shared" ca="1" si="159"/>
        <v>173.40754467156054</v>
      </c>
      <c r="K334" s="307">
        <f t="shared" ca="1" si="160"/>
        <v>1232.2919189703846</v>
      </c>
      <c r="L334" s="304">
        <f t="shared" ca="1" si="145"/>
        <v>1244.4330235527873</v>
      </c>
      <c r="M334" s="306">
        <f t="shared" ca="1" si="161"/>
        <v>1.4162982887228963</v>
      </c>
      <c r="N334" s="304">
        <f t="shared" ca="1" si="162"/>
        <v>81.14791447542288</v>
      </c>
      <c r="P334" s="310">
        <f t="shared" ca="1" si="163"/>
        <v>9</v>
      </c>
      <c r="Q334" s="304">
        <f t="shared" ca="1" si="164"/>
        <v>169.40740740744863</v>
      </c>
      <c r="R334" s="306">
        <f t="shared" ca="1" si="165"/>
        <v>8.5017684795199319E-2</v>
      </c>
      <c r="S334" s="307">
        <f t="shared" ca="1" si="166"/>
        <v>5.6639771962676573</v>
      </c>
      <c r="T334" s="304">
        <f t="shared" ca="1" si="146"/>
        <v>55.563616295385721</v>
      </c>
      <c r="U334" s="311">
        <f t="shared" ca="1" si="147"/>
        <v>0</v>
      </c>
      <c r="V334" s="306">
        <f t="shared" ca="1" si="148"/>
        <v>1.0828054967876568</v>
      </c>
      <c r="W334" s="304">
        <f t="shared" ca="1" si="149"/>
        <v>216.5908297777118</v>
      </c>
      <c r="Y334" s="314" t="str">
        <f t="shared" ca="1" si="167"/>
        <v/>
      </c>
      <c r="Z334" s="315" t="str">
        <f t="shared" ca="1" si="168"/>
        <v/>
      </c>
      <c r="AA334" s="316" t="str">
        <f t="shared" ca="1" si="169"/>
        <v/>
      </c>
      <c r="AC334" s="310" t="e">
        <f t="shared" ca="1" si="170"/>
        <v>#N/A</v>
      </c>
      <c r="AD334" s="323" t="e">
        <f t="shared" ca="1" si="171"/>
        <v>#N/A</v>
      </c>
      <c r="AE334" s="324">
        <f t="shared" ca="1" si="150"/>
        <v>1232.2919189703846</v>
      </c>
      <c r="AG334" s="306">
        <f t="shared" ca="1" si="172"/>
        <v>-18.076643582393707</v>
      </c>
      <c r="AH334" s="304">
        <f t="shared" ca="1" si="173"/>
        <v>-8.3834259485044207</v>
      </c>
    </row>
    <row r="335" spans="1:34" x14ac:dyDescent="0.2">
      <c r="A335" s="347">
        <f t="shared" ca="1" si="151"/>
        <v>0.01</v>
      </c>
      <c r="B335" s="304">
        <f t="shared" ca="1" si="152"/>
        <v>7.3099999999999294</v>
      </c>
      <c r="D335" s="306">
        <f t="shared" ca="1" si="153"/>
        <v>-1.441119894425007</v>
      </c>
      <c r="E335" s="307">
        <f t="shared" ca="1" si="154"/>
        <v>-19.063420203183824</v>
      </c>
      <c r="F335" s="304">
        <f t="shared" ca="1" si="155"/>
        <v>19.117814111274981</v>
      </c>
      <c r="G335" s="306">
        <f t="shared" ca="1" si="156"/>
        <v>53.476700553976357</v>
      </c>
      <c r="H335" s="307">
        <f t="shared" ca="1" si="157"/>
        <v>343.27539947084966</v>
      </c>
      <c r="I335" s="304">
        <f t="shared" ca="1" si="158"/>
        <v>347.41582776841221</v>
      </c>
      <c r="J335" s="306">
        <f t="shared" ca="1" si="159"/>
        <v>173.94238373309503</v>
      </c>
      <c r="K335" s="307">
        <f t="shared" ca="1" si="160"/>
        <v>1235.7256261361033</v>
      </c>
      <c r="L335" s="304">
        <f t="shared" ca="1" si="145"/>
        <v>1247.9077593909799</v>
      </c>
      <c r="M335" s="306">
        <f t="shared" ca="1" si="161"/>
        <v>1.4162548363741276</v>
      </c>
      <c r="N335" s="304">
        <f t="shared" ca="1" si="162"/>
        <v>81.145424839228497</v>
      </c>
      <c r="P335" s="310">
        <f t="shared" ca="1" si="163"/>
        <v>9</v>
      </c>
      <c r="Q335" s="304">
        <f t="shared" ca="1" si="164"/>
        <v>163.5555555555969</v>
      </c>
      <c r="R335" s="306">
        <f t="shared" ca="1" si="165"/>
        <v>8.2080912998601596E-2</v>
      </c>
      <c r="S335" s="307">
        <f t="shared" ca="1" si="166"/>
        <v>5.6631563871376711</v>
      </c>
      <c r="T335" s="304">
        <f t="shared" ca="1" si="146"/>
        <v>55.555564157820555</v>
      </c>
      <c r="U335" s="311">
        <f t="shared" ca="1" si="147"/>
        <v>0</v>
      </c>
      <c r="V335" s="306">
        <f t="shared" ca="1" si="148"/>
        <v>1.0824323365570663</v>
      </c>
      <c r="W335" s="304">
        <f t="shared" ca="1" si="149"/>
        <v>216.27883552880672</v>
      </c>
      <c r="Y335" s="314" t="str">
        <f t="shared" ca="1" si="167"/>
        <v/>
      </c>
      <c r="Z335" s="315" t="str">
        <f t="shared" ca="1" si="168"/>
        <v/>
      </c>
      <c r="AA335" s="316" t="str">
        <f t="shared" ca="1" si="169"/>
        <v/>
      </c>
      <c r="AC335" s="310" t="e">
        <f t="shared" ca="1" si="170"/>
        <v>#N/A</v>
      </c>
      <c r="AD335" s="323" t="e">
        <f t="shared" ca="1" si="171"/>
        <v>#N/A</v>
      </c>
      <c r="AE335" s="324">
        <f t="shared" ca="1" si="150"/>
        <v>1235.7256261361033</v>
      </c>
      <c r="AG335" s="306">
        <f t="shared" ca="1" si="172"/>
        <v>-19.058119373515737</v>
      </c>
      <c r="AH335" s="304">
        <f t="shared" ca="1" si="173"/>
        <v>-9.3649672720623069</v>
      </c>
    </row>
    <row r="336" spans="1:34" x14ac:dyDescent="0.2">
      <c r="A336" s="347">
        <f t="shared" ca="1" si="151"/>
        <v>0.01</v>
      </c>
      <c r="B336" s="304">
        <f t="shared" ca="1" si="152"/>
        <v>7.3199999999999292</v>
      </c>
      <c r="D336" s="306">
        <f t="shared" ca="1" si="153"/>
        <v>-1.5923202623517829</v>
      </c>
      <c r="E336" s="307">
        <f t="shared" ca="1" si="154"/>
        <v>-20.031355627440497</v>
      </c>
      <c r="F336" s="304">
        <f t="shared" ca="1" si="155"/>
        <v>20.094543838835659</v>
      </c>
      <c r="G336" s="306">
        <f t="shared" ca="1" si="156"/>
        <v>53.460777351352839</v>
      </c>
      <c r="H336" s="307">
        <f t="shared" ca="1" si="157"/>
        <v>343.07508591457525</v>
      </c>
      <c r="I336" s="304">
        <f t="shared" ca="1" si="158"/>
        <v>347.21545082312235</v>
      </c>
      <c r="J336" s="306">
        <f t="shared" ca="1" si="159"/>
        <v>174.47707112262168</v>
      </c>
      <c r="K336" s="307">
        <f t="shared" ca="1" si="160"/>
        <v>1239.1573785630305</v>
      </c>
      <c r="L336" s="304">
        <f t="shared" ca="1" si="145"/>
        <v>1251.3805405210398</v>
      </c>
      <c r="M336" s="306">
        <f t="shared" ca="1" si="161"/>
        <v>1.416211346818671</v>
      </c>
      <c r="N336" s="304">
        <f t="shared" ca="1" si="162"/>
        <v>81.142933071247938</v>
      </c>
      <c r="P336" s="310">
        <f t="shared" ca="1" si="163"/>
        <v>9</v>
      </c>
      <c r="Q336" s="304">
        <f t="shared" ca="1" si="164"/>
        <v>157.70370370374516</v>
      </c>
      <c r="R336" s="306">
        <f t="shared" ca="1" si="165"/>
        <v>7.9144141202003887E-2</v>
      </c>
      <c r="S336" s="307">
        <f t="shared" ca="1" si="166"/>
        <v>5.6623649457256509</v>
      </c>
      <c r="T336" s="304">
        <f t="shared" ca="1" si="146"/>
        <v>55.547800117568634</v>
      </c>
      <c r="U336" s="311">
        <f t="shared" ca="1" si="147"/>
        <v>0</v>
      </c>
      <c r="V336" s="306">
        <f t="shared" ca="1" si="148"/>
        <v>1.0820595093125664</v>
      </c>
      <c r="W336" s="304">
        <f t="shared" ca="1" si="149"/>
        <v>215.95501575208189</v>
      </c>
      <c r="Y336" s="314" t="str">
        <f t="shared" ca="1" si="167"/>
        <v/>
      </c>
      <c r="Z336" s="315" t="str">
        <f t="shared" ca="1" si="168"/>
        <v/>
      </c>
      <c r="AA336" s="316" t="str">
        <f t="shared" ca="1" si="169"/>
        <v/>
      </c>
      <c r="AC336" s="310" t="e">
        <f t="shared" ca="1" si="170"/>
        <v>#N/A</v>
      </c>
      <c r="AD336" s="323" t="e">
        <f t="shared" ca="1" si="171"/>
        <v>#N/A</v>
      </c>
      <c r="AE336" s="324">
        <f t="shared" ca="1" si="150"/>
        <v>1239.1573785630305</v>
      </c>
      <c r="AG336" s="306">
        <f t="shared" ca="1" si="172"/>
        <v>-20.037727364133211</v>
      </c>
      <c r="AH336" s="304">
        <f t="shared" ca="1" si="173"/>
        <v>-10.344640867642799</v>
      </c>
    </row>
    <row r="337" spans="1:34" x14ac:dyDescent="0.2">
      <c r="A337" s="347">
        <f t="shared" ca="1" si="151"/>
        <v>0.01</v>
      </c>
      <c r="B337" s="304">
        <f t="shared" ca="1" si="152"/>
        <v>7.329999999999929</v>
      </c>
      <c r="D337" s="306">
        <f t="shared" ca="1" si="153"/>
        <v>-1.7433166940786602</v>
      </c>
      <c r="E337" s="307">
        <f t="shared" ca="1" si="154"/>
        <v>-20.997426637413355</v>
      </c>
      <c r="F337" s="304">
        <f t="shared" ca="1" si="155"/>
        <v>21.069672007162552</v>
      </c>
      <c r="G337" s="306">
        <f t="shared" ca="1" si="156"/>
        <v>53.443344184412055</v>
      </c>
      <c r="H337" s="307">
        <f t="shared" ca="1" si="157"/>
        <v>342.86511164820109</v>
      </c>
      <c r="I337" s="304">
        <f t="shared" ca="1" si="158"/>
        <v>347.0052965347171</v>
      </c>
      <c r="J337" s="306">
        <f t="shared" ca="1" si="159"/>
        <v>175.01159173030049</v>
      </c>
      <c r="K337" s="307">
        <f t="shared" ca="1" si="160"/>
        <v>1242.5870795508445</v>
      </c>
      <c r="L337" s="304">
        <f t="shared" ca="1" si="145"/>
        <v>1254.8512690780012</v>
      </c>
      <c r="M337" s="306">
        <f t="shared" ca="1" si="161"/>
        <v>1.4161678187768205</v>
      </c>
      <c r="N337" s="304">
        <f t="shared" ca="1" si="162"/>
        <v>81.140439098159433</v>
      </c>
      <c r="P337" s="310">
        <f t="shared" ca="1" si="163"/>
        <v>9</v>
      </c>
      <c r="Q337" s="304">
        <f t="shared" ca="1" si="164"/>
        <v>151.85185185189346</v>
      </c>
      <c r="R337" s="306">
        <f t="shared" ca="1" si="165"/>
        <v>7.6207369405406178E-2</v>
      </c>
      <c r="S337" s="307">
        <f t="shared" ca="1" si="166"/>
        <v>5.6616028720315965</v>
      </c>
      <c r="T337" s="304">
        <f t="shared" ca="1" si="146"/>
        <v>55.540324174629966</v>
      </c>
      <c r="U337" s="311">
        <f t="shared" ca="1" si="147"/>
        <v>0</v>
      </c>
      <c r="V337" s="306">
        <f t="shared" ca="1" si="148"/>
        <v>1.081687025290333</v>
      </c>
      <c r="W337" s="304">
        <f t="shared" ca="1" si="149"/>
        <v>215.61942909334348</v>
      </c>
      <c r="Y337" s="314" t="str">
        <f t="shared" ca="1" si="167"/>
        <v/>
      </c>
      <c r="Z337" s="315" t="str">
        <f t="shared" ca="1" si="168"/>
        <v/>
      </c>
      <c r="AA337" s="316" t="str">
        <f t="shared" ca="1" si="169"/>
        <v/>
      </c>
      <c r="AC337" s="310" t="e">
        <f t="shared" ca="1" si="170"/>
        <v>#N/A</v>
      </c>
      <c r="AD337" s="323" t="e">
        <f t="shared" ca="1" si="171"/>
        <v>#N/A</v>
      </c>
      <c r="AE337" s="324">
        <f t="shared" ca="1" si="150"/>
        <v>1242.5870795508445</v>
      </c>
      <c r="AG337" s="306">
        <f t="shared" ca="1" si="172"/>
        <v>-21.015461713907943</v>
      </c>
      <c r="AH337" s="304">
        <f t="shared" ca="1" si="173"/>
        <v>-11.322440896880817</v>
      </c>
    </row>
    <row r="338" spans="1:34" x14ac:dyDescent="0.2">
      <c r="A338" s="347">
        <f t="shared" ca="1" si="151"/>
        <v>0.01</v>
      </c>
      <c r="B338" s="304">
        <f t="shared" ca="1" si="152"/>
        <v>7.3399999999999288</v>
      </c>
      <c r="D338" s="306">
        <f t="shared" ca="1" si="153"/>
        <v>-1.8941082058486554</v>
      </c>
      <c r="E338" s="307">
        <f t="shared" ca="1" si="154"/>
        <v>-21.96162769813143</v>
      </c>
      <c r="F338" s="304">
        <f t="shared" ca="1" si="155"/>
        <v>22.043156240583986</v>
      </c>
      <c r="G338" s="306">
        <f t="shared" ca="1" si="156"/>
        <v>53.424403102353565</v>
      </c>
      <c r="H338" s="307">
        <f t="shared" ca="1" si="157"/>
        <v>342.64549537121979</v>
      </c>
      <c r="I338" s="304">
        <f t="shared" ca="1" si="158"/>
        <v>346.78538369578291</v>
      </c>
      <c r="J338" s="306">
        <f t="shared" ca="1" si="159"/>
        <v>175.54593046673432</v>
      </c>
      <c r="K338" s="307">
        <f t="shared" ca="1" si="160"/>
        <v>1246.0146325859416</v>
      </c>
      <c r="L338" s="304">
        <f t="shared" ca="1" si="145"/>
        <v>1258.3198473844839</v>
      </c>
      <c r="M338" s="306">
        <f t="shared" ca="1" si="161"/>
        <v>1.416124250965292</v>
      </c>
      <c r="N338" s="304">
        <f t="shared" ca="1" si="162"/>
        <v>81.137942846436232</v>
      </c>
      <c r="P338" s="310">
        <f t="shared" ca="1" si="163"/>
        <v>9</v>
      </c>
      <c r="Q338" s="304">
        <f t="shared" ca="1" si="164"/>
        <v>146.00000000004172</v>
      </c>
      <c r="R338" s="306">
        <f t="shared" ca="1" si="165"/>
        <v>7.3270597608808469E-2</v>
      </c>
      <c r="S338" s="307">
        <f t="shared" ca="1" si="166"/>
        <v>5.6608701660555081</v>
      </c>
      <c r="T338" s="304">
        <f t="shared" ca="1" si="146"/>
        <v>55.533136329004535</v>
      </c>
      <c r="U338" s="311">
        <f t="shared" ca="1" si="147"/>
        <v>0</v>
      </c>
      <c r="V338" s="306">
        <f t="shared" ca="1" si="148"/>
        <v>1.0813148946930762</v>
      </c>
      <c r="W338" s="304">
        <f t="shared" ca="1" si="149"/>
        <v>215.27213513946211</v>
      </c>
      <c r="Y338" s="314" t="str">
        <f t="shared" ca="1" si="167"/>
        <v/>
      </c>
      <c r="Z338" s="315" t="str">
        <f t="shared" ca="1" si="168"/>
        <v/>
      </c>
      <c r="AA338" s="316" t="str">
        <f t="shared" ca="1" si="169"/>
        <v/>
      </c>
      <c r="AC338" s="310" t="e">
        <f t="shared" ca="1" si="170"/>
        <v>#N/A</v>
      </c>
      <c r="AD338" s="323" t="e">
        <f t="shared" ca="1" si="171"/>
        <v>#N/A</v>
      </c>
      <c r="AE338" s="324">
        <f t="shared" ca="1" si="150"/>
        <v>1246.0146325859416</v>
      </c>
      <c r="AG338" s="306">
        <f t="shared" ca="1" si="172"/>
        <v>-21.991316806025388</v>
      </c>
      <c r="AH338" s="304">
        <f t="shared" ca="1" si="173"/>
        <v>-12.298361744942218</v>
      </c>
    </row>
    <row r="339" spans="1:34" x14ac:dyDescent="0.2">
      <c r="A339" s="347">
        <f t="shared" ca="1" si="151"/>
        <v>0.01</v>
      </c>
      <c r="B339" s="304">
        <f t="shared" ca="1" si="152"/>
        <v>7.3499999999999286</v>
      </c>
      <c r="D339" s="306">
        <f t="shared" ca="1" si="153"/>
        <v>-2.044693851666719</v>
      </c>
      <c r="E339" s="307">
        <f t="shared" ca="1" si="154"/>
        <v>-22.923953493211162</v>
      </c>
      <c r="F339" s="304">
        <f t="shared" ca="1" si="155"/>
        <v>23.014960714847025</v>
      </c>
      <c r="G339" s="306">
        <f t="shared" ca="1" si="156"/>
        <v>53.403956163836895</v>
      </c>
      <c r="H339" s="307">
        <f t="shared" ca="1" si="157"/>
        <v>342.41625583628769</v>
      </c>
      <c r="I339" s="304">
        <f t="shared" ca="1" si="158"/>
        <v>346.55573115285665</v>
      </c>
      <c r="J339" s="306">
        <f t="shared" ca="1" si="159"/>
        <v>176.08007226306526</v>
      </c>
      <c r="K339" s="307">
        <f t="shared" ca="1" si="160"/>
        <v>1249.4399413419792</v>
      </c>
      <c r="L339" s="304">
        <f t="shared" ca="1" si="145"/>
        <v>1261.7861779512466</v>
      </c>
      <c r="M339" s="306">
        <f t="shared" ca="1" si="161"/>
        <v>1.4160806420970111</v>
      </c>
      <c r="N339" s="304">
        <f t="shared" ca="1" si="162"/>
        <v>81.135444242334387</v>
      </c>
      <c r="P339" s="310">
        <f t="shared" ca="1" si="163"/>
        <v>9</v>
      </c>
      <c r="Q339" s="304">
        <f t="shared" ca="1" si="164"/>
        <v>140.14814814818999</v>
      </c>
      <c r="R339" s="306">
        <f t="shared" ca="1" si="165"/>
        <v>7.0333825812210746E-2</v>
      </c>
      <c r="S339" s="307">
        <f t="shared" ca="1" si="166"/>
        <v>5.6601668277973856</v>
      </c>
      <c r="T339" s="304">
        <f t="shared" ca="1" si="146"/>
        <v>55.526236580692355</v>
      </c>
      <c r="U339" s="311">
        <f t="shared" ca="1" si="147"/>
        <v>0</v>
      </c>
      <c r="V339" s="306">
        <f t="shared" ca="1" si="148"/>
        <v>1.0809431276900503</v>
      </c>
      <c r="W339" s="304">
        <f t="shared" ca="1" si="149"/>
        <v>214.91319440610616</v>
      </c>
      <c r="Y339" s="314" t="str">
        <f t="shared" ca="1" si="167"/>
        <v/>
      </c>
      <c r="Z339" s="315" t="str">
        <f t="shared" ca="1" si="168"/>
        <v/>
      </c>
      <c r="AA339" s="316" t="str">
        <f t="shared" ca="1" si="169"/>
        <v/>
      </c>
      <c r="AC339" s="310" t="e">
        <f t="shared" ca="1" si="170"/>
        <v>#N/A</v>
      </c>
      <c r="AD339" s="323" t="e">
        <f t="shared" ca="1" si="171"/>
        <v>#N/A</v>
      </c>
      <c r="AE339" s="324">
        <f t="shared" ca="1" si="150"/>
        <v>1249.4399413419792</v>
      </c>
      <c r="AG339" s="306">
        <f t="shared" ca="1" si="172"/>
        <v>-22.965287245459351</v>
      </c>
      <c r="AH339" s="304">
        <f t="shared" ca="1" si="173"/>
        <v>-13.272398018788802</v>
      </c>
    </row>
    <row r="340" spans="1:34" x14ac:dyDescent="0.2">
      <c r="A340" s="347">
        <f t="shared" ca="1" si="151"/>
        <v>0.01</v>
      </c>
      <c r="B340" s="304">
        <f t="shared" ca="1" si="152"/>
        <v>7.3599999999999284</v>
      </c>
      <c r="D340" s="306">
        <f t="shared" ca="1" si="153"/>
        <v>-2.1950727230728275</v>
      </c>
      <c r="E340" s="307">
        <f t="shared" ca="1" si="154"/>
        <v>-23.884398923125772</v>
      </c>
      <c r="F340" s="304">
        <f t="shared" ca="1" si="155"/>
        <v>23.985054850439468</v>
      </c>
      <c r="G340" s="306">
        <f t="shared" ca="1" si="156"/>
        <v>53.382005436606164</v>
      </c>
      <c r="H340" s="307">
        <f t="shared" ca="1" si="157"/>
        <v>342.17741184705642</v>
      </c>
      <c r="I340" s="304">
        <f t="shared" ca="1" si="158"/>
        <v>346.31635780422488</v>
      </c>
      <c r="J340" s="306">
        <f t="shared" ca="1" si="159"/>
        <v>176.61400207106749</v>
      </c>
      <c r="K340" s="307">
        <f t="shared" ca="1" si="160"/>
        <v>1252.8629096803959</v>
      </c>
      <c r="L340" s="304">
        <f t="shared" ca="1" si="145"/>
        <v>1265.2501634777159</v>
      </c>
      <c r="M340" s="306">
        <f t="shared" ca="1" si="161"/>
        <v>1.4160369908809016</v>
      </c>
      <c r="N340" s="304">
        <f t="shared" ca="1" si="162"/>
        <v>81.132943211880701</v>
      </c>
      <c r="P340" s="310">
        <f t="shared" ca="1" si="163"/>
        <v>9</v>
      </c>
      <c r="Q340" s="304">
        <f t="shared" ca="1" si="164"/>
        <v>134.29629629633826</v>
      </c>
      <c r="R340" s="306">
        <f t="shared" ca="1" si="165"/>
        <v>6.7397054015613037E-2</v>
      </c>
      <c r="S340" s="307">
        <f t="shared" ca="1" si="166"/>
        <v>5.6594928572572298</v>
      </c>
      <c r="T340" s="304">
        <f t="shared" ca="1" si="146"/>
        <v>55.519624929693428</v>
      </c>
      <c r="U340" s="311">
        <f t="shared" ca="1" si="147"/>
        <v>0</v>
      </c>
      <c r="V340" s="306">
        <f t="shared" ca="1" si="148"/>
        <v>1.0805717344170678</v>
      </c>
      <c r="W340" s="304">
        <f t="shared" ca="1" si="149"/>
        <v>214.54266832553068</v>
      </c>
      <c r="Y340" s="314" t="str">
        <f t="shared" ca="1" si="167"/>
        <v/>
      </c>
      <c r="Z340" s="315" t="str">
        <f t="shared" ca="1" si="168"/>
        <v/>
      </c>
      <c r="AA340" s="316" t="str">
        <f t="shared" ca="1" si="169"/>
        <v/>
      </c>
      <c r="AC340" s="310" t="e">
        <f t="shared" ca="1" si="170"/>
        <v>#N/A</v>
      </c>
      <c r="AD340" s="323" t="e">
        <f t="shared" ca="1" si="171"/>
        <v>#N/A</v>
      </c>
      <c r="AE340" s="324">
        <f t="shared" ca="1" si="150"/>
        <v>1252.8629096803959</v>
      </c>
      <c r="AG340" s="306">
        <f t="shared" ca="1" si="172"/>
        <v>-23.937367857227613</v>
      </c>
      <c r="AH340" s="304">
        <f t="shared" ca="1" si="173"/>
        <v>-14.244544545434309</v>
      </c>
    </row>
    <row r="341" spans="1:34" x14ac:dyDescent="0.2">
      <c r="A341" s="347">
        <f t="shared" ca="1" si="151"/>
        <v>0.01</v>
      </c>
      <c r="B341" s="304">
        <f t="shared" ca="1" si="152"/>
        <v>7.3699999999999282</v>
      </c>
      <c r="D341" s="306">
        <f t="shared" ca="1" si="153"/>
        <v>-2.3452439489143977</v>
      </c>
      <c r="E341" s="307">
        <f t="shared" ca="1" si="154"/>
        <v>-24.842959103465972</v>
      </c>
      <c r="F341" s="304">
        <f t="shared" ca="1" si="155"/>
        <v>24.953412315681444</v>
      </c>
      <c r="G341" s="306">
        <f t="shared" ca="1" si="156"/>
        <v>53.358552997117023</v>
      </c>
      <c r="H341" s="307">
        <f t="shared" ca="1" si="157"/>
        <v>341.92898225602175</v>
      </c>
      <c r="I341" s="304">
        <f t="shared" ca="1" si="158"/>
        <v>346.06728259774138</v>
      </c>
      <c r="J341" s="306">
        <f t="shared" ca="1" si="159"/>
        <v>177.1477048632361</v>
      </c>
      <c r="K341" s="307">
        <f t="shared" ca="1" si="160"/>
        <v>1256.2834416509113</v>
      </c>
      <c r="L341" s="304">
        <f t="shared" ca="1" si="145"/>
        <v>1268.7117068524949</v>
      </c>
      <c r="M341" s="306">
        <f t="shared" ca="1" si="161"/>
        <v>1.4159932960216706</v>
      </c>
      <c r="N341" s="304">
        <f t="shared" ca="1" si="162"/>
        <v>81.130439680860349</v>
      </c>
      <c r="P341" s="310">
        <f t="shared" ca="1" si="163"/>
        <v>9</v>
      </c>
      <c r="Q341" s="304">
        <f t="shared" ca="1" si="164"/>
        <v>128.44444444448652</v>
      </c>
      <c r="R341" s="306">
        <f t="shared" ca="1" si="165"/>
        <v>6.4460282219015314E-2</v>
      </c>
      <c r="S341" s="307">
        <f t="shared" ca="1" si="166"/>
        <v>5.65884825443504</v>
      </c>
      <c r="T341" s="304">
        <f t="shared" ca="1" si="146"/>
        <v>55.513301376007746</v>
      </c>
      <c r="U341" s="311">
        <f t="shared" ca="1" si="147"/>
        <v>0</v>
      </c>
      <c r="V341" s="306">
        <f t="shared" ca="1" si="148"/>
        <v>1.0802007249765164</v>
      </c>
      <c r="W341" s="304">
        <f t="shared" ca="1" si="149"/>
        <v>214.16061923442444</v>
      </c>
      <c r="Y341" s="314" t="str">
        <f t="shared" ca="1" si="167"/>
        <v/>
      </c>
      <c r="Z341" s="315" t="str">
        <f t="shared" ca="1" si="168"/>
        <v/>
      </c>
      <c r="AA341" s="316" t="str">
        <f t="shared" ca="1" si="169"/>
        <v/>
      </c>
      <c r="AC341" s="310" t="e">
        <f t="shared" ca="1" si="170"/>
        <v>#N/A</v>
      </c>
      <c r="AD341" s="323" t="e">
        <f t="shared" ca="1" si="171"/>
        <v>#N/A</v>
      </c>
      <c r="AE341" s="324">
        <f t="shared" ca="1" si="150"/>
        <v>1256.2834416509113</v>
      </c>
      <c r="AG341" s="306">
        <f t="shared" ca="1" si="172"/>
        <v>-24.907553684638977</v>
      </c>
      <c r="AH341" s="304">
        <f t="shared" ca="1" si="173"/>
        <v>-15.214796370191749</v>
      </c>
    </row>
    <row r="342" spans="1:34" x14ac:dyDescent="0.2">
      <c r="A342" s="347">
        <f t="shared" ca="1" si="151"/>
        <v>0.01</v>
      </c>
      <c r="B342" s="304">
        <f t="shared" ca="1" si="152"/>
        <v>7.379999999999928</v>
      </c>
      <c r="D342" s="306">
        <f t="shared" ca="1" si="153"/>
        <v>-2.4952066951181795</v>
      </c>
      <c r="E342" s="307">
        <f t="shared" ca="1" si="154"/>
        <v>-25.799629363192601</v>
      </c>
      <c r="F342" s="304">
        <f t="shared" ca="1" si="155"/>
        <v>25.920010257125139</v>
      </c>
      <c r="G342" s="306">
        <f t="shared" ca="1" si="156"/>
        <v>53.333600930165844</v>
      </c>
      <c r="H342" s="307">
        <f t="shared" ca="1" si="157"/>
        <v>341.67098596238981</v>
      </c>
      <c r="I342" s="304">
        <f t="shared" ca="1" si="158"/>
        <v>345.80852452866134</v>
      </c>
      <c r="J342" s="306">
        <f t="shared" ca="1" si="159"/>
        <v>177.68116563287251</v>
      </c>
      <c r="K342" s="307">
        <f t="shared" ca="1" si="160"/>
        <v>1259.7014414920034</v>
      </c>
      <c r="L342" s="304">
        <f t="shared" ca="1" si="145"/>
        <v>1272.1707111538481</v>
      </c>
      <c r="M342" s="306">
        <f t="shared" ca="1" si="161"/>
        <v>1.4159495562195923</v>
      </c>
      <c r="N342" s="304">
        <f t="shared" ca="1" si="162"/>
        <v>81.127933574804516</v>
      </c>
      <c r="P342" s="310">
        <f t="shared" ca="1" si="163"/>
        <v>9</v>
      </c>
      <c r="Q342" s="304">
        <f t="shared" ca="1" si="164"/>
        <v>122.59259259263482</v>
      </c>
      <c r="R342" s="306">
        <f t="shared" ca="1" si="165"/>
        <v>6.1523510422417618E-2</v>
      </c>
      <c r="S342" s="307">
        <f t="shared" ca="1" si="166"/>
        <v>5.6582330193308161</v>
      </c>
      <c r="T342" s="304">
        <f t="shared" ca="1" si="146"/>
        <v>55.507265919635309</v>
      </c>
      <c r="U342" s="311">
        <f t="shared" ca="1" si="147"/>
        <v>0</v>
      </c>
      <c r="V342" s="306">
        <f t="shared" ca="1" si="148"/>
        <v>1.0798301094373781</v>
      </c>
      <c r="W342" s="304">
        <f t="shared" ca="1" si="149"/>
        <v>213.76711036181564</v>
      </c>
      <c r="Y342" s="314" t="str">
        <f t="shared" ca="1" si="167"/>
        <v/>
      </c>
      <c r="Z342" s="315" t="str">
        <f t="shared" ca="1" si="168"/>
        <v/>
      </c>
      <c r="AA342" s="316" t="str">
        <f t="shared" ca="1" si="169"/>
        <v/>
      </c>
      <c r="AC342" s="310" t="e">
        <f t="shared" ca="1" si="170"/>
        <v>#N/A</v>
      </c>
      <c r="AD342" s="323" t="e">
        <f t="shared" ca="1" si="171"/>
        <v>#N/A</v>
      </c>
      <c r="AE342" s="324">
        <f t="shared" ca="1" si="150"/>
        <v>1259.7014414920034</v>
      </c>
      <c r="AG342" s="306">
        <f t="shared" ca="1" si="172"/>
        <v>-25.87583998753221</v>
      </c>
      <c r="AH342" s="304">
        <f t="shared" ca="1" si="173"/>
        <v>-16.183148754912736</v>
      </c>
    </row>
    <row r="343" spans="1:34" x14ac:dyDescent="0.2">
      <c r="A343" s="347">
        <f t="shared" ca="1" si="151"/>
        <v>0.01</v>
      </c>
      <c r="B343" s="304">
        <f t="shared" ca="1" si="152"/>
        <v>7.3899999999999277</v>
      </c>
      <c r="D343" s="306">
        <f t="shared" ca="1" si="153"/>
        <v>-2.6449601644616538</v>
      </c>
      <c r="E343" s="307">
        <f t="shared" ca="1" si="154"/>
        <v>-26.754405242881617</v>
      </c>
      <c r="F343" s="304">
        <f t="shared" ca="1" si="155"/>
        <v>26.884828698950649</v>
      </c>
      <c r="G343" s="306">
        <f t="shared" ca="1" si="156"/>
        <v>53.307151328521229</v>
      </c>
      <c r="H343" s="307">
        <f t="shared" ca="1" si="157"/>
        <v>341.40344190996097</v>
      </c>
      <c r="I343" s="304">
        <f t="shared" ca="1" si="158"/>
        <v>345.5401026374941</v>
      </c>
      <c r="J343" s="306">
        <f t="shared" ca="1" si="159"/>
        <v>178.21436939416594</v>
      </c>
      <c r="K343" s="307">
        <f t="shared" ca="1" si="160"/>
        <v>1263.1168136313652</v>
      </c>
      <c r="L343" s="304">
        <f t="shared" ca="1" si="145"/>
        <v>1275.6270796501667</v>
      </c>
      <c r="M343" s="306">
        <f t="shared" ca="1" si="161"/>
        <v>1.415905770170292</v>
      </c>
      <c r="N343" s="304">
        <f t="shared" ca="1" si="162"/>
        <v>81.125424818978061</v>
      </c>
      <c r="P343" s="310">
        <f t="shared" ca="1" si="163"/>
        <v>9</v>
      </c>
      <c r="Q343" s="304">
        <f t="shared" ca="1" si="164"/>
        <v>116.74074074078308</v>
      </c>
      <c r="R343" s="306">
        <f t="shared" ca="1" si="165"/>
        <v>5.8586738625819902E-2</v>
      </c>
      <c r="S343" s="307">
        <f t="shared" ca="1" si="166"/>
        <v>5.6576471519445581</v>
      </c>
      <c r="T343" s="304">
        <f t="shared" ca="1" si="146"/>
        <v>55.501518560576116</v>
      </c>
      <c r="U343" s="311">
        <f t="shared" ca="1" si="147"/>
        <v>0</v>
      </c>
      <c r="V343" s="306">
        <f t="shared" ca="1" si="148"/>
        <v>1.0794598978352539</v>
      </c>
      <c r="W343" s="304">
        <f t="shared" ca="1" si="149"/>
        <v>213.36220581704038</v>
      </c>
      <c r="Y343" s="314" t="str">
        <f t="shared" ca="1" si="167"/>
        <v/>
      </c>
      <c r="Z343" s="315" t="str">
        <f t="shared" ca="1" si="168"/>
        <v/>
      </c>
      <c r="AA343" s="316" t="str">
        <f t="shared" ca="1" si="169"/>
        <v/>
      </c>
      <c r="AC343" s="310" t="e">
        <f t="shared" ca="1" si="170"/>
        <v>#N/A</v>
      </c>
      <c r="AD343" s="323" t="e">
        <f t="shared" ca="1" si="171"/>
        <v>#N/A</v>
      </c>
      <c r="AE343" s="324">
        <f t="shared" ca="1" si="150"/>
        <v>1263.1168136313652</v>
      </c>
      <c r="AG343" s="306">
        <f t="shared" ca="1" si="172"/>
        <v>-26.842222240507382</v>
      </c>
      <c r="AH343" s="304">
        <f t="shared" ca="1" si="173"/>
        <v>-17.149597176219125</v>
      </c>
    </row>
    <row r="344" spans="1:34" x14ac:dyDescent="0.2">
      <c r="A344" s="347">
        <f t="shared" ca="1" si="151"/>
        <v>0.01</v>
      </c>
      <c r="B344" s="304">
        <f t="shared" ca="1" si="152"/>
        <v>7.3999999999999275</v>
      </c>
      <c r="D344" s="306">
        <f t="shared" ca="1" si="153"/>
        <v>-2.7945035963440534</v>
      </c>
      <c r="E344" s="307">
        <f t="shared" ca="1" si="154"/>
        <v>-27.707282492962101</v>
      </c>
      <c r="F344" s="304">
        <f t="shared" ca="1" si="155"/>
        <v>27.847850069525727</v>
      </c>
      <c r="G344" s="306">
        <f t="shared" ca="1" si="156"/>
        <v>53.279206292557788</v>
      </c>
      <c r="H344" s="307">
        <f t="shared" ca="1" si="157"/>
        <v>341.12636908503134</v>
      </c>
      <c r="I344" s="304">
        <f t="shared" ca="1" si="158"/>
        <v>345.26203600787323</v>
      </c>
      <c r="J344" s="306">
        <f t="shared" ca="1" si="159"/>
        <v>178.74730118227134</v>
      </c>
      <c r="K344" s="307">
        <f t="shared" ca="1" si="160"/>
        <v>1266.5294626863401</v>
      </c>
      <c r="L344" s="304">
        <f t="shared" ca="1" si="145"/>
        <v>1279.0807158004122</v>
      </c>
      <c r="M344" s="306">
        <f t="shared" ca="1" si="161"/>
        <v>1.4158619365645255</v>
      </c>
      <c r="N344" s="304">
        <f t="shared" ca="1" si="162"/>
        <v>81.1229133383668</v>
      </c>
      <c r="P344" s="310">
        <f t="shared" ca="1" si="163"/>
        <v>9</v>
      </c>
      <c r="Q344" s="304">
        <f t="shared" ca="1" si="164"/>
        <v>110.88888888893136</v>
      </c>
      <c r="R344" s="306">
        <f t="shared" ca="1" si="165"/>
        <v>5.5649966829222193E-2</v>
      </c>
      <c r="S344" s="307">
        <f t="shared" ca="1" si="166"/>
        <v>5.6570906522762661</v>
      </c>
      <c r="T344" s="304">
        <f t="shared" ca="1" si="146"/>
        <v>55.496059298830176</v>
      </c>
      <c r="U344" s="311">
        <f t="shared" ca="1" si="147"/>
        <v>0</v>
      </c>
      <c r="V344" s="306">
        <f t="shared" ca="1" si="148"/>
        <v>1.0790901001723876</v>
      </c>
      <c r="W344" s="304">
        <f t="shared" ca="1" si="149"/>
        <v>212.94597057777335</v>
      </c>
      <c r="Y344" s="314" t="str">
        <f t="shared" ca="1" si="167"/>
        <v/>
      </c>
      <c r="Z344" s="315" t="str">
        <f t="shared" ca="1" si="168"/>
        <v/>
      </c>
      <c r="AA344" s="316" t="str">
        <f t="shared" ca="1" si="169"/>
        <v/>
      </c>
      <c r="AC344" s="310" t="e">
        <f t="shared" ca="1" si="170"/>
        <v>#N/A</v>
      </c>
      <c r="AD344" s="323" t="e">
        <f t="shared" ca="1" si="171"/>
        <v>#N/A</v>
      </c>
      <c r="AE344" s="324">
        <f t="shared" ca="1" si="150"/>
        <v>1266.5294626863401</v>
      </c>
      <c r="AG344" s="306">
        <f t="shared" ca="1" si="172"/>
        <v>-27.806696131150275</v>
      </c>
      <c r="AH344" s="304">
        <f t="shared" ca="1" si="173"/>
        <v>-18.114137323727775</v>
      </c>
    </row>
    <row r="345" spans="1:34" x14ac:dyDescent="0.2">
      <c r="A345" s="347">
        <f t="shared" ca="1" si="151"/>
        <v>0.01</v>
      </c>
      <c r="B345" s="304">
        <f t="shared" ca="1" si="152"/>
        <v>7.4099999999999273</v>
      </c>
      <c r="D345" s="306">
        <f t="shared" ca="1" si="153"/>
        <v>-2.9438362665571094</v>
      </c>
      <c r="E345" s="307">
        <f t="shared" ca="1" si="154"/>
        <v>-28.658257071947666</v>
      </c>
      <c r="F345" s="304">
        <f t="shared" ca="1" si="155"/>
        <v>28.809058824719273</v>
      </c>
      <c r="G345" s="306">
        <f t="shared" ca="1" si="156"/>
        <v>53.249767929892215</v>
      </c>
      <c r="H345" s="307">
        <f t="shared" ca="1" si="157"/>
        <v>340.83978651431187</v>
      </c>
      <c r="I345" s="304">
        <f t="shared" ca="1" si="158"/>
        <v>344.97434376444443</v>
      </c>
      <c r="J345" s="306">
        <f t="shared" ca="1" si="159"/>
        <v>179.27994605338358</v>
      </c>
      <c r="K345" s="307">
        <f t="shared" ca="1" si="160"/>
        <v>1269.9392934643367</v>
      </c>
      <c r="L345" s="304">
        <f t="shared" ca="1" si="145"/>
        <v>1282.531523254537</v>
      </c>
      <c r="M345" s="306">
        <f t="shared" ca="1" si="161"/>
        <v>1.4158180540879601</v>
      </c>
      <c r="N345" s="304">
        <f t="shared" ca="1" si="162"/>
        <v>81.120399057665026</v>
      </c>
      <c r="P345" s="310">
        <f t="shared" ca="1" si="163"/>
        <v>9</v>
      </c>
      <c r="Q345" s="304">
        <f t="shared" ca="1" si="164"/>
        <v>105.03703703707963</v>
      </c>
      <c r="R345" s="306">
        <f t="shared" ca="1" si="165"/>
        <v>5.2713195032624477E-2</v>
      </c>
      <c r="S345" s="307">
        <f t="shared" ca="1" si="166"/>
        <v>5.6565635203259399</v>
      </c>
      <c r="T345" s="304">
        <f t="shared" ca="1" si="146"/>
        <v>55.490888134397473</v>
      </c>
      <c r="U345" s="311">
        <f t="shared" ca="1" si="147"/>
        <v>0</v>
      </c>
      <c r="V345" s="306">
        <f t="shared" ca="1" si="148"/>
        <v>1.0787207264176981</v>
      </c>
      <c r="W345" s="304">
        <f t="shared" ca="1" si="149"/>
        <v>212.51847047812427</v>
      </c>
      <c r="Y345" s="314" t="str">
        <f t="shared" ca="1" si="167"/>
        <v/>
      </c>
      <c r="Z345" s="315" t="str">
        <f t="shared" ca="1" si="168"/>
        <v/>
      </c>
      <c r="AA345" s="316" t="str">
        <f t="shared" ca="1" si="169"/>
        <v/>
      </c>
      <c r="AC345" s="310" t="e">
        <f t="shared" ca="1" si="170"/>
        <v>#N/A</v>
      </c>
      <c r="AD345" s="323" t="e">
        <f t="shared" ca="1" si="171"/>
        <v>#N/A</v>
      </c>
      <c r="AE345" s="324">
        <f t="shared" ca="1" si="150"/>
        <v>1269.9392934643367</v>
      </c>
      <c r="AG345" s="306">
        <f t="shared" ca="1" si="172"/>
        <v>-28.769257558250139</v>
      </c>
      <c r="AH345" s="304">
        <f t="shared" ca="1" si="173"/>
        <v>-19.076765098268684</v>
      </c>
    </row>
    <row r="346" spans="1:34" x14ac:dyDescent="0.2">
      <c r="A346" s="347">
        <f t="shared" ca="1" si="151"/>
        <v>0.01</v>
      </c>
      <c r="B346" s="304">
        <f t="shared" ca="1" si="152"/>
        <v>7.4199999999999271</v>
      </c>
      <c r="D346" s="306">
        <f t="shared" ca="1" si="153"/>
        <v>-3.092957487055553</v>
      </c>
      <c r="E346" s="307">
        <f t="shared" ca="1" si="154"/>
        <v>-29.607325144661743</v>
      </c>
      <c r="F346" s="304">
        <f t="shared" ca="1" si="155"/>
        <v>29.768441145589946</v>
      </c>
      <c r="G346" s="306">
        <f t="shared" ca="1" si="156"/>
        <v>53.21883835502166</v>
      </c>
      <c r="H346" s="307">
        <f t="shared" ca="1" si="157"/>
        <v>340.54371326286525</v>
      </c>
      <c r="I346" s="304">
        <f t="shared" ca="1" si="158"/>
        <v>344.67704507077133</v>
      </c>
      <c r="J346" s="306">
        <f t="shared" ca="1" si="159"/>
        <v>179.81228908480816</v>
      </c>
      <c r="K346" s="307">
        <f t="shared" ca="1" si="160"/>
        <v>1273.3462109632226</v>
      </c>
      <c r="L346" s="304">
        <f t="shared" ca="1" si="145"/>
        <v>1285.9794058538862</v>
      </c>
      <c r="M346" s="306">
        <f t="shared" ca="1" si="161"/>
        <v>1.41577412142095</v>
      </c>
      <c r="N346" s="304">
        <f t="shared" ca="1" si="162"/>
        <v>81.117881901262592</v>
      </c>
      <c r="P346" s="310">
        <f t="shared" ca="1" si="163"/>
        <v>9</v>
      </c>
      <c r="Q346" s="304">
        <f t="shared" ca="1" si="164"/>
        <v>99.185185185227908</v>
      </c>
      <c r="R346" s="306">
        <f t="shared" ca="1" si="165"/>
        <v>4.9776423236026768E-2</v>
      </c>
      <c r="S346" s="307">
        <f t="shared" ca="1" si="166"/>
        <v>5.6560657560935796</v>
      </c>
      <c r="T346" s="304">
        <f t="shared" ca="1" si="146"/>
        <v>55.486005067278022</v>
      </c>
      <c r="U346" s="311">
        <f t="shared" ca="1" si="147"/>
        <v>0</v>
      </c>
      <c r="V346" s="306">
        <f t="shared" ca="1" si="148"/>
        <v>1.0783517865068093</v>
      </c>
      <c r="W346" s="304">
        <f t="shared" ca="1" si="149"/>
        <v>212.07977219679998</v>
      </c>
      <c r="Y346" s="314" t="str">
        <f t="shared" ca="1" si="167"/>
        <v/>
      </c>
      <c r="Z346" s="315" t="str">
        <f t="shared" ca="1" si="168"/>
        <v/>
      </c>
      <c r="AA346" s="316" t="str">
        <f t="shared" ca="1" si="169"/>
        <v/>
      </c>
      <c r="AC346" s="310" t="e">
        <f t="shared" ca="1" si="170"/>
        <v>#N/A</v>
      </c>
      <c r="AD346" s="323" t="e">
        <f t="shared" ca="1" si="171"/>
        <v>#N/A</v>
      </c>
      <c r="AE346" s="324">
        <f t="shared" ca="1" si="150"/>
        <v>1273.3462109632226</v>
      </c>
      <c r="AG346" s="306">
        <f t="shared" ca="1" si="172"/>
        <v>-29.729902630011527</v>
      </c>
      <c r="AH346" s="304">
        <f t="shared" ca="1" si="173"/>
        <v>-20.037476610097116</v>
      </c>
    </row>
    <row r="347" spans="1:34" x14ac:dyDescent="0.2">
      <c r="A347" s="347">
        <f t="shared" ca="1" si="151"/>
        <v>0.01</v>
      </c>
      <c r="B347" s="304">
        <f t="shared" ca="1" si="152"/>
        <v>7.4299999999999269</v>
      </c>
      <c r="D347" s="306">
        <f t="shared" ca="1" si="153"/>
        <v>-3.2418666057275281</v>
      </c>
      <c r="E347" s="307">
        <f t="shared" ca="1" si="154"/>
        <v>-30.554483080457203</v>
      </c>
      <c r="F347" s="304">
        <f t="shared" ca="1" si="155"/>
        <v>30.725984693794221</v>
      </c>
      <c r="G347" s="306">
        <f t="shared" ca="1" si="156"/>
        <v>53.186419688964385</v>
      </c>
      <c r="H347" s="307">
        <f t="shared" ca="1" si="157"/>
        <v>340.23816843206066</v>
      </c>
      <c r="I347" s="304">
        <f t="shared" ca="1" si="158"/>
        <v>344.37015912725934</v>
      </c>
      <c r="J347" s="306">
        <f t="shared" ca="1" si="159"/>
        <v>180.34431537502809</v>
      </c>
      <c r="K347" s="307">
        <f t="shared" ca="1" si="160"/>
        <v>1276.7501203716972</v>
      </c>
      <c r="L347" s="304">
        <f t="shared" ca="1" si="145"/>
        <v>1289.4242676315778</v>
      </c>
      <c r="M347" s="306">
        <f t="shared" ca="1" si="161"/>
        <v>1.4157301372383131</v>
      </c>
      <c r="N347" s="304">
        <f t="shared" ca="1" si="162"/>
        <v>81.115361793232168</v>
      </c>
      <c r="P347" s="310">
        <f t="shared" ca="1" si="163"/>
        <v>9</v>
      </c>
      <c r="Q347" s="304">
        <f t="shared" ca="1" si="164"/>
        <v>93.333333333376174</v>
      </c>
      <c r="R347" s="306">
        <f t="shared" ca="1" si="165"/>
        <v>4.6839651439429052E-2</v>
      </c>
      <c r="S347" s="307">
        <f t="shared" ca="1" si="166"/>
        <v>5.6555973595791853</v>
      </c>
      <c r="T347" s="304">
        <f t="shared" ca="1" si="146"/>
        <v>55.481410097471809</v>
      </c>
      <c r="U347" s="311">
        <f t="shared" ca="1" si="147"/>
        <v>0</v>
      </c>
      <c r="V347" s="306">
        <f t="shared" ca="1" si="148"/>
        <v>1.0779832903420867</v>
      </c>
      <c r="W347" s="304">
        <f t="shared" ca="1" si="149"/>
        <v>211.62994324533597</v>
      </c>
      <c r="Y347" s="314" t="str">
        <f t="shared" ca="1" si="167"/>
        <v/>
      </c>
      <c r="Z347" s="315" t="str">
        <f t="shared" ca="1" si="168"/>
        <v/>
      </c>
      <c r="AA347" s="316" t="str">
        <f t="shared" ca="1" si="169"/>
        <v/>
      </c>
      <c r="AC347" s="310" t="e">
        <f t="shared" ca="1" si="170"/>
        <v>#N/A</v>
      </c>
      <c r="AD347" s="323" t="e">
        <f t="shared" ca="1" si="171"/>
        <v>#N/A</v>
      </c>
      <c r="AE347" s="324">
        <f t="shared" ca="1" si="150"/>
        <v>1276.7501203716972</v>
      </c>
      <c r="AG347" s="306">
        <f t="shared" ca="1" si="172"/>
        <v>-30.688627662260384</v>
      </c>
      <c r="AH347" s="304">
        <f t="shared" ca="1" si="173"/>
        <v>-20.996268177100102</v>
      </c>
    </row>
    <row r="348" spans="1:34" x14ac:dyDescent="0.2">
      <c r="A348" s="347">
        <f t="shared" ca="1" si="151"/>
        <v>0.01</v>
      </c>
      <c r="B348" s="304">
        <f t="shared" ca="1" si="152"/>
        <v>7.4399999999999267</v>
      </c>
      <c r="D348" s="306">
        <f t="shared" ca="1" si="153"/>
        <v>-3.3905630061649394</v>
      </c>
      <c r="E348" s="307">
        <f t="shared" ca="1" si="154"/>
        <v>-31.499727451430985</v>
      </c>
      <c r="F348" s="304">
        <f t="shared" ca="1" si="155"/>
        <v>31.681678412186578</v>
      </c>
      <c r="G348" s="306">
        <f t="shared" ca="1" si="156"/>
        <v>53.152514058902739</v>
      </c>
      <c r="H348" s="307">
        <f t="shared" ca="1" si="157"/>
        <v>339.92317115754634</v>
      </c>
      <c r="I348" s="304">
        <f t="shared" ca="1" si="158"/>
        <v>344.05370516909767</v>
      </c>
      <c r="J348" s="306">
        <f t="shared" ca="1" si="159"/>
        <v>180.87601004376742</v>
      </c>
      <c r="K348" s="307">
        <f t="shared" ca="1" si="160"/>
        <v>1280.1509270696451</v>
      </c>
      <c r="L348" s="304">
        <f t="shared" ca="1" si="145"/>
        <v>1292.8660128128611</v>
      </c>
      <c r="M348" s="306">
        <f t="shared" ca="1" si="161"/>
        <v>1.4156861002091035</v>
      </c>
      <c r="N348" s="304">
        <f t="shared" ca="1" si="162"/>
        <v>81.112838657316161</v>
      </c>
      <c r="P348" s="310">
        <f t="shared" ca="1" si="163"/>
        <v>9</v>
      </c>
      <c r="Q348" s="304">
        <f t="shared" ca="1" si="164"/>
        <v>87.48148148152444</v>
      </c>
      <c r="R348" s="306">
        <f t="shared" ca="1" si="165"/>
        <v>4.3902879642831336E-2</v>
      </c>
      <c r="S348" s="307">
        <f t="shared" ca="1" si="166"/>
        <v>5.6551583307827569</v>
      </c>
      <c r="T348" s="304">
        <f t="shared" ca="1" si="146"/>
        <v>55.477103224978848</v>
      </c>
      <c r="U348" s="311">
        <f t="shared" ca="1" si="147"/>
        <v>0</v>
      </c>
      <c r="V348" s="306">
        <f t="shared" ca="1" si="148"/>
        <v>1.0776152477926755</v>
      </c>
      <c r="W348" s="304">
        <f t="shared" ca="1" si="149"/>
        <v>211.16905195639723</v>
      </c>
      <c r="Y348" s="314" t="str">
        <f t="shared" ca="1" si="167"/>
        <v/>
      </c>
      <c r="Z348" s="315" t="str">
        <f t="shared" ca="1" si="168"/>
        <v/>
      </c>
      <c r="AA348" s="316" t="str">
        <f t="shared" ca="1" si="169"/>
        <v/>
      </c>
      <c r="AC348" s="310" t="e">
        <f t="shared" ca="1" si="170"/>
        <v>#N/A</v>
      </c>
      <c r="AD348" s="323" t="e">
        <f t="shared" ca="1" si="171"/>
        <v>#N/A</v>
      </c>
      <c r="AE348" s="324">
        <f t="shared" ca="1" si="150"/>
        <v>1280.1509270696451</v>
      </c>
      <c r="AG348" s="306">
        <f t="shared" ca="1" si="172"/>
        <v>-31.645429176645262</v>
      </c>
      <c r="AH348" s="304">
        <f t="shared" ca="1" si="173"/>
        <v>-21.953136322997974</v>
      </c>
    </row>
    <row r="349" spans="1:34" x14ac:dyDescent="0.2">
      <c r="A349" s="347">
        <f t="shared" ca="1" si="151"/>
        <v>0.01</v>
      </c>
      <c r="B349" s="304">
        <f t="shared" ca="1" si="152"/>
        <v>7.4499999999999265</v>
      </c>
      <c r="D349" s="306">
        <f t="shared" ca="1" si="153"/>
        <v>-3.5390461074338684</v>
      </c>
      <c r="E349" s="307">
        <f t="shared" ca="1" si="154"/>
        <v>-32.44305503063395</v>
      </c>
      <c r="F349" s="304">
        <f t="shared" ca="1" si="155"/>
        <v>32.635512361096545</v>
      </c>
      <c r="G349" s="306">
        <f t="shared" ca="1" si="156"/>
        <v>53.117123597828403</v>
      </c>
      <c r="H349" s="307">
        <f t="shared" ca="1" si="157"/>
        <v>339.59874060724002</v>
      </c>
      <c r="I349" s="304">
        <f t="shared" ca="1" si="158"/>
        <v>343.72770246421874</v>
      </c>
      <c r="J349" s="306">
        <f t="shared" ca="1" si="159"/>
        <v>181.40735823205108</v>
      </c>
      <c r="K349" s="307">
        <f t="shared" ca="1" si="160"/>
        <v>1283.548536628469</v>
      </c>
      <c r="L349" s="304">
        <f t="shared" ca="1" si="145"/>
        <v>1296.3045458154561</v>
      </c>
      <c r="M349" s="306">
        <f t="shared" ca="1" si="161"/>
        <v>1.4156420089963828</v>
      </c>
      <c r="N349" s="304">
        <f t="shared" ca="1" si="162"/>
        <v>81.110312416913658</v>
      </c>
      <c r="P349" s="310">
        <f t="shared" ca="1" si="163"/>
        <v>9</v>
      </c>
      <c r="Q349" s="304">
        <f t="shared" ca="1" si="164"/>
        <v>81.629629629672735</v>
      </c>
      <c r="R349" s="306">
        <f t="shared" ca="1" si="165"/>
        <v>4.0966107846233633E-2</v>
      </c>
      <c r="S349" s="307">
        <f t="shared" ca="1" si="166"/>
        <v>5.6547486697042944</v>
      </c>
      <c r="T349" s="304">
        <f t="shared" ca="1" si="146"/>
        <v>55.473084449799131</v>
      </c>
      <c r="U349" s="311">
        <f t="shared" ca="1" si="147"/>
        <v>0</v>
      </c>
      <c r="V349" s="306">
        <f t="shared" ca="1" si="148"/>
        <v>1.0772476686945409</v>
      </c>
      <c r="W349" s="304">
        <f t="shared" ca="1" si="149"/>
        <v>210.69716747215048</v>
      </c>
      <c r="Y349" s="314" t="str">
        <f t="shared" ca="1" si="167"/>
        <v/>
      </c>
      <c r="Z349" s="315" t="str">
        <f t="shared" ca="1" si="168"/>
        <v/>
      </c>
      <c r="AA349" s="316" t="str">
        <f t="shared" ca="1" si="169"/>
        <v/>
      </c>
      <c r="AC349" s="310" t="e">
        <f t="shared" ca="1" si="170"/>
        <v>#N/A</v>
      </c>
      <c r="AD349" s="323" t="e">
        <f t="shared" ca="1" si="171"/>
        <v>#N/A</v>
      </c>
      <c r="AE349" s="324">
        <f t="shared" ca="1" si="150"/>
        <v>1283.548536628469</v>
      </c>
      <c r="AG349" s="306">
        <f t="shared" ca="1" si="172"/>
        <v>-32.600303898833836</v>
      </c>
      <c r="AH349" s="304">
        <f t="shared" ca="1" si="173"/>
        <v>-22.908077775541265</v>
      </c>
    </row>
    <row r="350" spans="1:34" x14ac:dyDescent="0.2">
      <c r="A350" s="347">
        <f t="shared" ca="1" si="151"/>
        <v>0.01</v>
      </c>
      <c r="B350" s="304">
        <f t="shared" ca="1" si="152"/>
        <v>7.4599999999999262</v>
      </c>
      <c r="D350" s="306">
        <f t="shared" ca="1" si="153"/>
        <v>-3.687315363845113</v>
      </c>
      <c r="E350" s="307">
        <f t="shared" ca="1" si="154"/>
        <v>-33.384462790276579</v>
      </c>
      <c r="F350" s="304">
        <f t="shared" ca="1" si="155"/>
        <v>33.587477582989315</v>
      </c>
      <c r="G350" s="306">
        <f t="shared" ca="1" si="156"/>
        <v>53.08025044418995</v>
      </c>
      <c r="H350" s="307">
        <f t="shared" ca="1" si="157"/>
        <v>339.26489597933727</v>
      </c>
      <c r="I350" s="304">
        <f t="shared" ca="1" si="158"/>
        <v>343.39217031127612</v>
      </c>
      <c r="J350" s="306">
        <f t="shared" ca="1" si="159"/>
        <v>181.93834510226117</v>
      </c>
      <c r="K350" s="307">
        <f t="shared" ca="1" si="160"/>
        <v>1286.942854811402</v>
      </c>
      <c r="L350" s="304">
        <f t="shared" ca="1" si="145"/>
        <v>1299.7397712498723</v>
      </c>
      <c r="M350" s="306">
        <f t="shared" ca="1" si="161"/>
        <v>1.4155978622569887</v>
      </c>
      <c r="N350" s="304">
        <f t="shared" ca="1" si="162"/>
        <v>81.107782995067112</v>
      </c>
      <c r="P350" s="310">
        <f t="shared" ca="1" si="163"/>
        <v>9</v>
      </c>
      <c r="Q350" s="304">
        <f t="shared" ca="1" si="164"/>
        <v>75.777777777821001</v>
      </c>
      <c r="R350" s="306">
        <f t="shared" ca="1" si="165"/>
        <v>3.8029336049635917E-2</v>
      </c>
      <c r="S350" s="307">
        <f t="shared" ca="1" si="166"/>
        <v>5.6543683763437977</v>
      </c>
      <c r="T350" s="304">
        <f t="shared" ca="1" si="146"/>
        <v>55.46935377193266</v>
      </c>
      <c r="U350" s="311">
        <f t="shared" ca="1" si="147"/>
        <v>0</v>
      </c>
      <c r="V350" s="306">
        <f t="shared" ca="1" si="148"/>
        <v>1.0768805628505143</v>
      </c>
      <c r="W350" s="304">
        <f t="shared" ca="1" si="149"/>
        <v>210.21435973270948</v>
      </c>
      <c r="Y350" s="314" t="str">
        <f t="shared" ca="1" si="167"/>
        <v/>
      </c>
      <c r="Z350" s="315" t="str">
        <f t="shared" ca="1" si="168"/>
        <v/>
      </c>
      <c r="AA350" s="316" t="str">
        <f t="shared" ca="1" si="169"/>
        <v/>
      </c>
      <c r="AC350" s="310" t="e">
        <f t="shared" ca="1" si="170"/>
        <v>#N/A</v>
      </c>
      <c r="AD350" s="323" t="e">
        <f t="shared" ca="1" si="171"/>
        <v>#N/A</v>
      </c>
      <c r="AE350" s="324">
        <f t="shared" ca="1" si="150"/>
        <v>1286.942854811402</v>
      </c>
      <c r="AG350" s="306">
        <f t="shared" ca="1" si="172"/>
        <v>-33.553248756705329</v>
      </c>
      <c r="AH350" s="304">
        <f t="shared" ca="1" si="173"/>
        <v>-23.861089464703475</v>
      </c>
    </row>
    <row r="351" spans="1:34" x14ac:dyDescent="0.2">
      <c r="A351" s="347">
        <f t="shared" ca="1" si="151"/>
        <v>0.01</v>
      </c>
      <c r="B351" s="304">
        <f t="shared" ca="1" si="152"/>
        <v>7.469999999999926</v>
      </c>
      <c r="D351" s="306">
        <f t="shared" ca="1" si="153"/>
        <v>-3.8353702647249439</v>
      </c>
      <c r="E351" s="307">
        <f t="shared" ca="1" si="154"/>
        <v>-34.323947899930793</v>
      </c>
      <c r="F351" s="304">
        <f t="shared" ca="1" si="155"/>
        <v>34.537565989871084</v>
      </c>
      <c r="G351" s="306">
        <f t="shared" ca="1" si="156"/>
        <v>53.041896741542701</v>
      </c>
      <c r="H351" s="307">
        <f t="shared" ca="1" si="157"/>
        <v>338.92165650033797</v>
      </c>
      <c r="I351" s="304">
        <f t="shared" ca="1" si="158"/>
        <v>343.04712803764085</v>
      </c>
      <c r="J351" s="306">
        <f t="shared" ca="1" si="159"/>
        <v>182.46895583818983</v>
      </c>
      <c r="K351" s="307">
        <f t="shared" ca="1" si="160"/>
        <v>1290.3337875738002</v>
      </c>
      <c r="L351" s="304">
        <f t="shared" ca="1" si="145"/>
        <v>1303.1715939197065</v>
      </c>
      <c r="M351" s="306">
        <f t="shared" ca="1" si="161"/>
        <v>1.415553658641302</v>
      </c>
      <c r="N351" s="304">
        <f t="shared" ca="1" si="162"/>
        <v>81.105250314449037</v>
      </c>
      <c r="P351" s="310">
        <f t="shared" ca="1" si="163"/>
        <v>9</v>
      </c>
      <c r="Q351" s="304">
        <f t="shared" ca="1" si="164"/>
        <v>69.925925925969267</v>
      </c>
      <c r="R351" s="306">
        <f t="shared" ca="1" si="165"/>
        <v>3.5092564253038201E-2</v>
      </c>
      <c r="S351" s="307">
        <f t="shared" ca="1" si="166"/>
        <v>5.654017450701267</v>
      </c>
      <c r="T351" s="304">
        <f t="shared" ca="1" si="146"/>
        <v>55.465911191379433</v>
      </c>
      <c r="U351" s="311">
        <f t="shared" ca="1" si="147"/>
        <v>0</v>
      </c>
      <c r="V351" s="306">
        <f t="shared" ca="1" si="148"/>
        <v>1.0765139400303378</v>
      </c>
      <c r="W351" s="304">
        <f t="shared" ca="1" si="149"/>
        <v>209.7206994646553</v>
      </c>
      <c r="Y351" s="314" t="str">
        <f t="shared" ca="1" si="167"/>
        <v/>
      </c>
      <c r="Z351" s="315" t="str">
        <f t="shared" ca="1" si="168"/>
        <v/>
      </c>
      <c r="AA351" s="316" t="str">
        <f t="shared" ca="1" si="169"/>
        <v/>
      </c>
      <c r="AC351" s="310" t="e">
        <f t="shared" ca="1" si="170"/>
        <v>#N/A</v>
      </c>
      <c r="AD351" s="323" t="e">
        <f t="shared" ca="1" si="171"/>
        <v>#N/A</v>
      </c>
      <c r="AE351" s="324">
        <f t="shared" ca="1" si="150"/>
        <v>1290.3337875738002</v>
      </c>
      <c r="AG351" s="306">
        <f t="shared" ca="1" si="172"/>
        <v>-34.504260878539128</v>
      </c>
      <c r="AH351" s="304">
        <f t="shared" ca="1" si="173"/>
        <v>-24.812168520870106</v>
      </c>
    </row>
    <row r="352" spans="1:34" x14ac:dyDescent="0.2">
      <c r="A352" s="347">
        <f t="shared" ca="1" si="151"/>
        <v>0.01</v>
      </c>
      <c r="B352" s="304">
        <f t="shared" ca="1" si="152"/>
        <v>7.4799999999999258</v>
      </c>
      <c r="D352" s="306">
        <f t="shared" ca="1" si="153"/>
        <v>-3.9795390249996649</v>
      </c>
      <c r="E352" s="307">
        <f t="shared" ca="1" si="154"/>
        <v>-35.238049170878845</v>
      </c>
      <c r="F352" s="304">
        <f t="shared" ca="1" si="155"/>
        <v>35.462047885320587</v>
      </c>
      <c r="G352" s="306">
        <f t="shared" ca="1" si="156"/>
        <v>53.002101351292701</v>
      </c>
      <c r="H352" s="307">
        <f t="shared" ca="1" si="157"/>
        <v>338.56927600862917</v>
      </c>
      <c r="I352" s="304">
        <f t="shared" ca="1" si="158"/>
        <v>342.69283243840982</v>
      </c>
      <c r="J352" s="306">
        <f t="shared" ca="1" si="159"/>
        <v>182.99917582865402</v>
      </c>
      <c r="K352" s="307">
        <f t="shared" ca="1" si="160"/>
        <v>1293.721242236345</v>
      </c>
      <c r="L352" s="304">
        <f t="shared" ca="1" si="145"/>
        <v>1306.5999200089973</v>
      </c>
      <c r="M352" s="306">
        <f t="shared" ca="1" si="161"/>
        <v>1.4155093968236774</v>
      </c>
      <c r="N352" s="304">
        <f t="shared" ca="1" si="162"/>
        <v>81.102714299105571</v>
      </c>
      <c r="P352" s="310">
        <f t="shared" ca="1" si="163"/>
        <v>10</v>
      </c>
      <c r="Q352" s="304">
        <f t="shared" ca="1" si="164"/>
        <v>64.208333333374796</v>
      </c>
      <c r="R352" s="306">
        <f t="shared" ca="1" si="165"/>
        <v>3.2223170923291806E-2</v>
      </c>
      <c r="S352" s="307">
        <f t="shared" ca="1" si="166"/>
        <v>5.6536952189920342</v>
      </c>
      <c r="T352" s="304">
        <f t="shared" ca="1" si="146"/>
        <v>55.462750098311858</v>
      </c>
      <c r="U352" s="311">
        <f t="shared" ca="1" si="147"/>
        <v>0</v>
      </c>
      <c r="V352" s="306">
        <f t="shared" ca="1" si="148"/>
        <v>1.0761478098439614</v>
      </c>
      <c r="W352" s="304">
        <f t="shared" ca="1" si="149"/>
        <v>209.21654806390964</v>
      </c>
      <c r="Y352" s="314" t="str">
        <f t="shared" ca="1" si="167"/>
        <v/>
      </c>
      <c r="Z352" s="315" t="str">
        <f t="shared" ca="1" si="168"/>
        <v/>
      </c>
      <c r="AA352" s="316" t="str">
        <f t="shared" ca="1" si="169"/>
        <v/>
      </c>
      <c r="AC352" s="310" t="e">
        <f t="shared" ca="1" si="170"/>
        <v>#N/A</v>
      </c>
      <c r="AD352" s="323" t="e">
        <f t="shared" ca="1" si="171"/>
        <v>#N/A</v>
      </c>
      <c r="AE352" s="324">
        <f t="shared" ca="1" si="150"/>
        <v>1293.721242236345</v>
      </c>
      <c r="AG352" s="306">
        <f t="shared" ca="1" si="172"/>
        <v>-35.429593491725697</v>
      </c>
      <c r="AH352" s="304">
        <f t="shared" ca="1" si="173"/>
        <v>-25.737568173549878</v>
      </c>
    </row>
    <row r="353" spans="1:34" x14ac:dyDescent="0.2">
      <c r="A353" s="347">
        <f t="shared" ca="1" si="151"/>
        <v>0.01</v>
      </c>
      <c r="B353" s="304">
        <f t="shared" ca="1" si="152"/>
        <v>7.4899999999999256</v>
      </c>
      <c r="D353" s="306">
        <f t="shared" ca="1" si="153"/>
        <v>-4.1198259897619236</v>
      </c>
      <c r="E353" s="307">
        <f t="shared" ca="1" si="154"/>
        <v>-36.126815127580016</v>
      </c>
      <c r="F353" s="304">
        <f t="shared" ca="1" si="155"/>
        <v>36.360964473570583</v>
      </c>
      <c r="G353" s="306">
        <f t="shared" ca="1" si="156"/>
        <v>52.960903091395082</v>
      </c>
      <c r="H353" s="307">
        <f t="shared" ca="1" si="157"/>
        <v>338.20800785735338</v>
      </c>
      <c r="I353" s="304">
        <f t="shared" ca="1" si="158"/>
        <v>342.32953982251627</v>
      </c>
      <c r="J353" s="306">
        <f t="shared" ca="1" si="159"/>
        <v>183.52899085086744</v>
      </c>
      <c r="K353" s="307">
        <f t="shared" ca="1" si="160"/>
        <v>1297.1051286556749</v>
      </c>
      <c r="L353" s="304">
        <f t="shared" ca="1" si="145"/>
        <v>1310.0246582670086</v>
      </c>
      <c r="M353" s="306">
        <f t="shared" ca="1" si="161"/>
        <v>1.4154650755024432</v>
      </c>
      <c r="N353" s="304">
        <f t="shared" ca="1" si="162"/>
        <v>81.1001748744564</v>
      </c>
      <c r="P353" s="310">
        <f t="shared" ca="1" si="163"/>
        <v>10</v>
      </c>
      <c r="Q353" s="304">
        <f t="shared" ca="1" si="164"/>
        <v>58.625000000041567</v>
      </c>
      <c r="R353" s="306">
        <f t="shared" ca="1" si="165"/>
        <v>2.9421156060398728E-2</v>
      </c>
      <c r="S353" s="307">
        <f t="shared" ca="1" si="166"/>
        <v>5.6534010074314303</v>
      </c>
      <c r="T353" s="304">
        <f t="shared" ca="1" si="146"/>
        <v>55.459863882902333</v>
      </c>
      <c r="U353" s="311">
        <f t="shared" ca="1" si="147"/>
        <v>0</v>
      </c>
      <c r="V353" s="306">
        <f t="shared" ca="1" si="148"/>
        <v>1.0757821816153563</v>
      </c>
      <c r="W353" s="304">
        <f t="shared" ca="1" si="149"/>
        <v>208.70226539410351</v>
      </c>
      <c r="Y353" s="314" t="str">
        <f t="shared" ca="1" si="167"/>
        <v/>
      </c>
      <c r="Z353" s="315" t="str">
        <f t="shared" ca="1" si="168"/>
        <v/>
      </c>
      <c r="AA353" s="316" t="str">
        <f t="shared" ca="1" si="169"/>
        <v/>
      </c>
      <c r="AC353" s="310" t="e">
        <f t="shared" ca="1" si="170"/>
        <v>#N/A</v>
      </c>
      <c r="AD353" s="323" t="e">
        <f t="shared" ca="1" si="171"/>
        <v>#N/A</v>
      </c>
      <c r="AE353" s="324">
        <f t="shared" ca="1" si="150"/>
        <v>1297.1051286556749</v>
      </c>
      <c r="AG353" s="306">
        <f t="shared" ca="1" si="172"/>
        <v>-36.329295212612706</v>
      </c>
      <c r="AH353" s="304">
        <f t="shared" ca="1" si="173"/>
        <v>-26.637337041174781</v>
      </c>
    </row>
    <row r="354" spans="1:34" x14ac:dyDescent="0.2">
      <c r="A354" s="347">
        <f t="shared" ca="1" si="151"/>
        <v>0.01</v>
      </c>
      <c r="B354" s="304">
        <f t="shared" ca="1" si="152"/>
        <v>7.4999999999999254</v>
      </c>
      <c r="D354" s="306">
        <f t="shared" ca="1" si="153"/>
        <v>-4.2599093719530376</v>
      </c>
      <c r="E354" s="307">
        <f t="shared" ca="1" si="154"/>
        <v>-37.013755567665008</v>
      </c>
      <c r="F354" s="304">
        <f t="shared" ca="1" si="155"/>
        <v>37.258085418873925</v>
      </c>
      <c r="G354" s="306">
        <f t="shared" ca="1" si="156"/>
        <v>52.918303997675551</v>
      </c>
      <c r="H354" s="307">
        <f t="shared" ca="1" si="157"/>
        <v>337.83787030167673</v>
      </c>
      <c r="I354" s="304">
        <f t="shared" ca="1" si="158"/>
        <v>341.95726854091424</v>
      </c>
      <c r="J354" s="306">
        <f t="shared" ca="1" si="159"/>
        <v>184.0583868863128</v>
      </c>
      <c r="K354" s="307">
        <f t="shared" ca="1" si="160"/>
        <v>1300.4853580464701</v>
      </c>
      <c r="L354" s="304">
        <f t="shared" ca="1" si="145"/>
        <v>1313.44571881614</v>
      </c>
      <c r="M354" s="306">
        <f t="shared" ca="1" si="161"/>
        <v>1.415420693369096</v>
      </c>
      <c r="N354" s="304">
        <f t="shared" ca="1" si="162"/>
        <v>81.097631965529828</v>
      </c>
      <c r="P354" s="310">
        <f t="shared" ca="1" si="163"/>
        <v>10</v>
      </c>
      <c r="Q354" s="304">
        <f t="shared" ca="1" si="164"/>
        <v>53.041666666708338</v>
      </c>
      <c r="R354" s="306">
        <f t="shared" ca="1" si="165"/>
        <v>2.661914119750565E-2</v>
      </c>
      <c r="S354" s="307">
        <f t="shared" ca="1" si="166"/>
        <v>5.6531348160194552</v>
      </c>
      <c r="T354" s="304">
        <f t="shared" ca="1" si="146"/>
        <v>55.457252545150858</v>
      </c>
      <c r="U354" s="311">
        <f t="shared" ca="1" si="147"/>
        <v>0</v>
      </c>
      <c r="V354" s="306">
        <f t="shared" ca="1" si="148"/>
        <v>1.0754170645102115</v>
      </c>
      <c r="W354" s="304">
        <f t="shared" ca="1" si="149"/>
        <v>208.17792059605011</v>
      </c>
      <c r="Y354" s="314" t="str">
        <f t="shared" ca="1" si="167"/>
        <v/>
      </c>
      <c r="Z354" s="315" t="str">
        <f t="shared" ca="1" si="168"/>
        <v/>
      </c>
      <c r="AA354" s="316" t="str">
        <f t="shared" ca="1" si="169"/>
        <v/>
      </c>
      <c r="AC354" s="310" t="e">
        <f t="shared" ca="1" si="170"/>
        <v>#N/A</v>
      </c>
      <c r="AD354" s="323" t="e">
        <f t="shared" ca="1" si="171"/>
        <v>#N/A</v>
      </c>
      <c r="AE354" s="324">
        <f t="shared" ca="1" si="150"/>
        <v>1300.4853580464701</v>
      </c>
      <c r="AG354" s="306">
        <f t="shared" ca="1" si="172"/>
        <v>-37.227161839122473</v>
      </c>
      <c r="AH354" s="304">
        <f t="shared" ca="1" si="173"/>
        <v>-27.535270923717423</v>
      </c>
    </row>
    <row r="355" spans="1:34" x14ac:dyDescent="0.2">
      <c r="A355" s="347">
        <f t="shared" ca="1" si="151"/>
        <v>0.01</v>
      </c>
      <c r="B355" s="304">
        <f t="shared" ca="1" si="152"/>
        <v>7.5099999999999252</v>
      </c>
      <c r="D355" s="306">
        <f t="shared" ca="1" si="153"/>
        <v>-4.3997889111108348</v>
      </c>
      <c r="E355" s="307">
        <f t="shared" ca="1" si="154"/>
        <v>-37.898869128759479</v>
      </c>
      <c r="F355" s="304">
        <f t="shared" ca="1" si="155"/>
        <v>38.153406449505553</v>
      </c>
      <c r="G355" s="306">
        <f t="shared" ca="1" si="156"/>
        <v>52.87430610856444</v>
      </c>
      <c r="H355" s="307">
        <f t="shared" ca="1" si="157"/>
        <v>337.45888161038914</v>
      </c>
      <c r="I355" s="304">
        <f t="shared" ca="1" si="158"/>
        <v>341.57603695838617</v>
      </c>
      <c r="J355" s="306">
        <f t="shared" ca="1" si="159"/>
        <v>184.58734993684399</v>
      </c>
      <c r="K355" s="307">
        <f t="shared" ca="1" si="160"/>
        <v>1303.8618418060305</v>
      </c>
      <c r="L355" s="304">
        <f t="shared" ca="1" si="145"/>
        <v>1316.8630119623381</v>
      </c>
      <c r="M355" s="306">
        <f t="shared" ca="1" si="161"/>
        <v>1.4153762491080768</v>
      </c>
      <c r="N355" s="304">
        <f t="shared" ca="1" si="162"/>
        <v>81.095085496949849</v>
      </c>
      <c r="P355" s="310">
        <f t="shared" ca="1" si="163"/>
        <v>10</v>
      </c>
      <c r="Q355" s="304">
        <f t="shared" ca="1" si="164"/>
        <v>47.458333333375109</v>
      </c>
      <c r="R355" s="306">
        <f t="shared" ca="1" si="165"/>
        <v>2.3817126334612575E-2</v>
      </c>
      <c r="S355" s="307">
        <f t="shared" ca="1" si="166"/>
        <v>5.6528966447561091</v>
      </c>
      <c r="T355" s="304">
        <f t="shared" ca="1" si="146"/>
        <v>55.454916085057434</v>
      </c>
      <c r="U355" s="311">
        <f t="shared" ca="1" si="147"/>
        <v>0</v>
      </c>
      <c r="V355" s="306">
        <f t="shared" ca="1" si="148"/>
        <v>1.0750524676631137</v>
      </c>
      <c r="W355" s="304">
        <f t="shared" ca="1" si="149"/>
        <v>207.6435834631811</v>
      </c>
      <c r="Y355" s="314" t="str">
        <f t="shared" ca="1" si="167"/>
        <v/>
      </c>
      <c r="Z355" s="315" t="str">
        <f t="shared" ca="1" si="168"/>
        <v/>
      </c>
      <c r="AA355" s="316" t="str">
        <f t="shared" ca="1" si="169"/>
        <v/>
      </c>
      <c r="AC355" s="310" t="e">
        <f t="shared" ca="1" si="170"/>
        <v>#N/A</v>
      </c>
      <c r="AD355" s="323" t="e">
        <f t="shared" ca="1" si="171"/>
        <v>#N/A</v>
      </c>
      <c r="AE355" s="324">
        <f t="shared" ca="1" si="150"/>
        <v>1303.8618418060305</v>
      </c>
      <c r="AG355" s="306">
        <f t="shared" ca="1" si="172"/>
        <v>-38.123191988434215</v>
      </c>
      <c r="AH355" s="304">
        <f t="shared" ca="1" si="173"/>
        <v>-28.431368440420012</v>
      </c>
    </row>
    <row r="356" spans="1:34" x14ac:dyDescent="0.2">
      <c r="A356" s="347">
        <f t="shared" ca="1" si="151"/>
        <v>0.01</v>
      </c>
      <c r="B356" s="304">
        <f t="shared" ca="1" si="152"/>
        <v>7.519999999999925</v>
      </c>
      <c r="D356" s="306">
        <f t="shared" ca="1" si="153"/>
        <v>-4.539464376997338</v>
      </c>
      <c r="E356" s="307">
        <f t="shared" ca="1" si="154"/>
        <v>-38.782154615634617</v>
      </c>
      <c r="F356" s="304">
        <f t="shared" ca="1" si="155"/>
        <v>39.046923738766118</v>
      </c>
      <c r="G356" s="306">
        <f t="shared" ca="1" si="156"/>
        <v>52.828911464794466</v>
      </c>
      <c r="H356" s="307">
        <f t="shared" ca="1" si="157"/>
        <v>337.07106006423277</v>
      </c>
      <c r="I356" s="304">
        <f t="shared" ca="1" si="158"/>
        <v>341.18586345184451</v>
      </c>
      <c r="J356" s="306">
        <f t="shared" ca="1" si="159"/>
        <v>185.11586602471078</v>
      </c>
      <c r="K356" s="307">
        <f t="shared" ca="1" si="160"/>
        <v>1307.2344915144035</v>
      </c>
      <c r="L356" s="304">
        <f t="shared" ca="1" si="145"/>
        <v>1320.2764481952254</v>
      </c>
      <c r="M356" s="306">
        <f t="shared" ca="1" si="161"/>
        <v>1.4153317413965463</v>
      </c>
      <c r="N356" s="304">
        <f t="shared" ca="1" si="162"/>
        <v>81.092535392923367</v>
      </c>
      <c r="P356" s="310">
        <f t="shared" ca="1" si="163"/>
        <v>10</v>
      </c>
      <c r="Q356" s="304">
        <f t="shared" ca="1" si="164"/>
        <v>41.875000000041879</v>
      </c>
      <c r="R356" s="306">
        <f t="shared" ca="1" si="165"/>
        <v>2.1015111471719496E-2</v>
      </c>
      <c r="S356" s="307">
        <f t="shared" ca="1" si="166"/>
        <v>5.6526864936413919</v>
      </c>
      <c r="T356" s="304">
        <f t="shared" ca="1" si="146"/>
        <v>55.45285450262206</v>
      </c>
      <c r="U356" s="311">
        <f t="shared" ca="1" si="147"/>
        <v>0</v>
      </c>
      <c r="V356" s="306">
        <f t="shared" ca="1" si="148"/>
        <v>1.0746884001776127</v>
      </c>
      <c r="W356" s="304">
        <f t="shared" ca="1" si="149"/>
        <v>207.0993244316748</v>
      </c>
      <c r="Y356" s="314" t="str">
        <f t="shared" ca="1" si="167"/>
        <v/>
      </c>
      <c r="Z356" s="315" t="str">
        <f t="shared" ca="1" si="168"/>
        <v/>
      </c>
      <c r="AA356" s="316" t="str">
        <f t="shared" ca="1" si="169"/>
        <v/>
      </c>
      <c r="AC356" s="310" t="e">
        <f t="shared" ca="1" si="170"/>
        <v>#N/A</v>
      </c>
      <c r="AD356" s="323" t="e">
        <f t="shared" ca="1" si="171"/>
        <v>#N/A</v>
      </c>
      <c r="AE356" s="324">
        <f t="shared" ca="1" si="150"/>
        <v>1307.2344915144035</v>
      </c>
      <c r="AG356" s="306">
        <f t="shared" ca="1" si="172"/>
        <v>-39.017384447537204</v>
      </c>
      <c r="AH356" s="304">
        <f t="shared" ca="1" si="173"/>
        <v>-29.325628380347897</v>
      </c>
    </row>
    <row r="357" spans="1:34" x14ac:dyDescent="0.2">
      <c r="A357" s="347">
        <f t="shared" ca="1" si="151"/>
        <v>0.01</v>
      </c>
      <c r="B357" s="304">
        <f t="shared" ca="1" si="152"/>
        <v>7.5299999999999248</v>
      </c>
      <c r="D357" s="306">
        <f t="shared" ca="1" si="153"/>
        <v>-4.6789355693935848</v>
      </c>
      <c r="E357" s="307">
        <f t="shared" ca="1" si="154"/>
        <v>-39.663610998567556</v>
      </c>
      <c r="F357" s="304">
        <f t="shared" ca="1" si="155"/>
        <v>39.938633871330971</v>
      </c>
      <c r="G357" s="306">
        <f t="shared" ca="1" si="156"/>
        <v>52.782122109100527</v>
      </c>
      <c r="H357" s="307">
        <f t="shared" ca="1" si="157"/>
        <v>336.67442395424712</v>
      </c>
      <c r="I357" s="304">
        <f t="shared" ca="1" si="158"/>
        <v>340.78676640865052</v>
      </c>
      <c r="J357" s="306">
        <f t="shared" ca="1" si="159"/>
        <v>185.64392119258025</v>
      </c>
      <c r="K357" s="307">
        <f t="shared" ca="1" si="160"/>
        <v>1310.603218934496</v>
      </c>
      <c r="L357" s="304">
        <f t="shared" ca="1" si="145"/>
        <v>1323.6859381882166</v>
      </c>
      <c r="M357" s="306">
        <f t="shared" ca="1" si="161"/>
        <v>1.4152871689041555</v>
      </c>
      <c r="N357" s="304">
        <f t="shared" ca="1" si="162"/>
        <v>81.089981577226993</v>
      </c>
      <c r="P357" s="310">
        <f t="shared" ca="1" si="163"/>
        <v>10</v>
      </c>
      <c r="Q357" s="304">
        <f t="shared" ca="1" si="164"/>
        <v>36.29166666670865</v>
      </c>
      <c r="R357" s="306">
        <f t="shared" ca="1" si="165"/>
        <v>1.8213096608826418E-2</v>
      </c>
      <c r="S357" s="307">
        <f t="shared" ca="1" si="166"/>
        <v>5.6525043626753035</v>
      </c>
      <c r="T357" s="304">
        <f t="shared" ca="1" si="146"/>
        <v>55.451067797844729</v>
      </c>
      <c r="U357" s="311">
        <f t="shared" ca="1" si="147"/>
        <v>0</v>
      </c>
      <c r="V357" s="306">
        <f t="shared" ca="1" si="148"/>
        <v>1.0743248711262872</v>
      </c>
      <c r="W357" s="304">
        <f t="shared" ca="1" si="149"/>
        <v>206.54521457066195</v>
      </c>
      <c r="Y357" s="314" t="str">
        <f t="shared" ca="1" si="167"/>
        <v/>
      </c>
      <c r="Z357" s="315" t="str">
        <f t="shared" ca="1" si="168"/>
        <v/>
      </c>
      <c r="AA357" s="316" t="str">
        <f t="shared" ca="1" si="169"/>
        <v/>
      </c>
      <c r="AC357" s="310" t="e">
        <f t="shared" ca="1" si="170"/>
        <v>#N/A</v>
      </c>
      <c r="AD357" s="323" t="e">
        <f t="shared" ca="1" si="171"/>
        <v>#N/A</v>
      </c>
      <c r="AE357" s="324">
        <f t="shared" ca="1" si="150"/>
        <v>1310.603218934496</v>
      </c>
      <c r="AG357" s="306">
        <f t="shared" ca="1" si="172"/>
        <v>-39.909738171579818</v>
      </c>
      <c r="AH357" s="304">
        <f t="shared" ca="1" si="173"/>
        <v>-30.218049700738966</v>
      </c>
    </row>
    <row r="358" spans="1:34" x14ac:dyDescent="0.2">
      <c r="A358" s="347">
        <f t="shared" ca="1" si="151"/>
        <v>0.01</v>
      </c>
      <c r="B358" s="304">
        <f t="shared" ca="1" si="152"/>
        <v>7.5399999999999245</v>
      </c>
      <c r="D358" s="306">
        <f t="shared" ca="1" si="153"/>
        <v>-4.8182023178954054</v>
      </c>
      <c r="E358" s="307">
        <f t="shared" ca="1" si="154"/>
        <v>-40.543237411702414</v>
      </c>
      <c r="F358" s="304">
        <f t="shared" ca="1" si="155"/>
        <v>40.828533813962004</v>
      </c>
      <c r="G358" s="306">
        <f t="shared" ca="1" si="156"/>
        <v>52.733940085921574</v>
      </c>
      <c r="H358" s="307">
        <f t="shared" ca="1" si="157"/>
        <v>336.26899158013009</v>
      </c>
      <c r="I358" s="304">
        <f t="shared" ca="1" si="158"/>
        <v>340.37876422494861</v>
      </c>
      <c r="J358" s="306">
        <f t="shared" ca="1" si="159"/>
        <v>186.17150150355536</v>
      </c>
      <c r="K358" s="307">
        <f t="shared" ca="1" si="160"/>
        <v>1313.9679360121679</v>
      </c>
      <c r="L358" s="304">
        <f t="shared" ca="1" si="145"/>
        <v>1327.0913927986139</v>
      </c>
      <c r="M358" s="306">
        <f t="shared" ca="1" si="161"/>
        <v>1.4152425302928153</v>
      </c>
      <c r="N358" s="304">
        <f t="shared" ca="1" si="162"/>
        <v>81.087423973193879</v>
      </c>
      <c r="P358" s="310">
        <f t="shared" ca="1" si="163"/>
        <v>10</v>
      </c>
      <c r="Q358" s="304">
        <f t="shared" ca="1" si="164"/>
        <v>30.708333333375414</v>
      </c>
      <c r="R358" s="306">
        <f t="shared" ca="1" si="165"/>
        <v>1.5411081745933336E-2</v>
      </c>
      <c r="S358" s="307">
        <f t="shared" ca="1" si="166"/>
        <v>5.6523502518578441</v>
      </c>
      <c r="T358" s="304">
        <f t="shared" ca="1" si="146"/>
        <v>55.449555970725456</v>
      </c>
      <c r="U358" s="311">
        <f t="shared" ca="1" si="147"/>
        <v>0</v>
      </c>
      <c r="V358" s="306">
        <f t="shared" ca="1" si="148"/>
        <v>1.0739618895508143</v>
      </c>
      <c r="W358" s="304">
        <f t="shared" ca="1" si="149"/>
        <v>205.9813255725079</v>
      </c>
      <c r="Y358" s="314" t="str">
        <f t="shared" ca="1" si="167"/>
        <v/>
      </c>
      <c r="Z358" s="315" t="str">
        <f t="shared" ca="1" si="168"/>
        <v/>
      </c>
      <c r="AA358" s="316" t="str">
        <f t="shared" ca="1" si="169"/>
        <v/>
      </c>
      <c r="AC358" s="310" t="e">
        <f t="shared" ca="1" si="170"/>
        <v>#N/A</v>
      </c>
      <c r="AD358" s="323" t="e">
        <f t="shared" ca="1" si="171"/>
        <v>#N/A</v>
      </c>
      <c r="AE358" s="324">
        <f t="shared" ca="1" si="150"/>
        <v>1313.9679360121679</v>
      </c>
      <c r="AG358" s="306">
        <f t="shared" ca="1" si="172"/>
        <v>-40.800252282219361</v>
      </c>
      <c r="AH358" s="304">
        <f t="shared" ca="1" si="173"/>
        <v>-31.108631525353822</v>
      </c>
    </row>
    <row r="359" spans="1:34" x14ac:dyDescent="0.2">
      <c r="A359" s="347">
        <f t="shared" ca="1" si="151"/>
        <v>0.01</v>
      </c>
      <c r="B359" s="304">
        <f t="shared" ca="1" si="152"/>
        <v>7.5499999999999243</v>
      </c>
      <c r="D359" s="306">
        <f t="shared" ca="1" si="153"/>
        <v>-4.9572644817100651</v>
      </c>
      <c r="E359" s="307">
        <f t="shared" ca="1" si="154"/>
        <v>-41.421033151411955</v>
      </c>
      <c r="F359" s="304">
        <f t="shared" ca="1" si="155"/>
        <v>41.716620889904213</v>
      </c>
      <c r="G359" s="306">
        <f t="shared" ca="1" si="156"/>
        <v>52.68436744110447</v>
      </c>
      <c r="H359" s="307">
        <f t="shared" ca="1" si="157"/>
        <v>335.85478124861595</v>
      </c>
      <c r="I359" s="304">
        <f t="shared" ca="1" si="158"/>
        <v>339.96187530401841</v>
      </c>
      <c r="J359" s="306">
        <f t="shared" ca="1" si="159"/>
        <v>186.69859304119049</v>
      </c>
      <c r="K359" s="307">
        <f t="shared" ca="1" si="160"/>
        <v>1317.3285548763117</v>
      </c>
      <c r="L359" s="304">
        <f t="shared" ca="1" si="145"/>
        <v>1330.4927230676881</v>
      </c>
      <c r="M359" s="306">
        <f t="shared" ca="1" si="161"/>
        <v>1.4151978242164625</v>
      </c>
      <c r="N359" s="304">
        <f t="shared" ca="1" si="162"/>
        <v>81.084862503700265</v>
      </c>
      <c r="P359" s="310">
        <f t="shared" ca="1" si="163"/>
        <v>10</v>
      </c>
      <c r="Q359" s="304">
        <f t="shared" ca="1" si="164"/>
        <v>25.125000000042185</v>
      </c>
      <c r="R359" s="306">
        <f t="shared" ca="1" si="165"/>
        <v>1.2609066883040258E-2</v>
      </c>
      <c r="S359" s="307">
        <f t="shared" ca="1" si="166"/>
        <v>5.6522241611890136</v>
      </c>
      <c r="T359" s="304">
        <f t="shared" ca="1" si="146"/>
        <v>55.448319021264226</v>
      </c>
      <c r="U359" s="311">
        <f t="shared" ca="1" si="147"/>
        <v>0</v>
      </c>
      <c r="V359" s="306">
        <f t="shared" ca="1" si="148"/>
        <v>1.0735994644620379</v>
      </c>
      <c r="W359" s="304">
        <f t="shared" ca="1" si="149"/>
        <v>205.40772974317363</v>
      </c>
      <c r="Y359" s="314" t="str">
        <f t="shared" ca="1" si="167"/>
        <v/>
      </c>
      <c r="Z359" s="315" t="str">
        <f t="shared" ca="1" si="168"/>
        <v/>
      </c>
      <c r="AA359" s="316" t="str">
        <f t="shared" ca="1" si="169"/>
        <v/>
      </c>
      <c r="AC359" s="310" t="e">
        <f t="shared" ca="1" si="170"/>
        <v>#N/A</v>
      </c>
      <c r="AD359" s="323" t="e">
        <f t="shared" ca="1" si="171"/>
        <v>#N/A</v>
      </c>
      <c r="AE359" s="324">
        <f t="shared" ca="1" si="150"/>
        <v>1317.3285548763117</v>
      </c>
      <c r="AG359" s="306">
        <f t="shared" ca="1" si="172"/>
        <v>-41.688926065972595</v>
      </c>
      <c r="AH359" s="304">
        <f t="shared" ca="1" si="173"/>
        <v>-31.997373142826735</v>
      </c>
    </row>
    <row r="360" spans="1:34" x14ac:dyDescent="0.2">
      <c r="A360" s="347">
        <f t="shared" ca="1" si="151"/>
        <v>0.01</v>
      </c>
      <c r="B360" s="304">
        <f t="shared" ca="1" si="152"/>
        <v>7.5599999999999241</v>
      </c>
      <c r="D360" s="306">
        <f t="shared" ca="1" si="153"/>
        <v>-5.0961219494539352</v>
      </c>
      <c r="E360" s="307">
        <f t="shared" ca="1" si="154"/>
        <v>-42.296997674660538</v>
      </c>
      <c r="F360" s="304">
        <f t="shared" ca="1" si="155"/>
        <v>42.602892756407343</v>
      </c>
      <c r="G360" s="306">
        <f t="shared" ca="1" si="156"/>
        <v>52.633406221609931</v>
      </c>
      <c r="H360" s="307">
        <f t="shared" ca="1" si="157"/>
        <v>335.43181127186932</v>
      </c>
      <c r="I360" s="304">
        <f t="shared" ca="1" si="158"/>
        <v>339.53611805464226</v>
      </c>
      <c r="J360" s="306">
        <f t="shared" ca="1" si="159"/>
        <v>187.22518190950407</v>
      </c>
      <c r="K360" s="307">
        <f t="shared" ca="1" si="160"/>
        <v>1320.6849878389141</v>
      </c>
      <c r="L360" s="304">
        <f t="shared" ca="1" si="145"/>
        <v>1333.8898402207431</v>
      </c>
      <c r="M360" s="306">
        <f t="shared" ca="1" si="161"/>
        <v>1.4151530493208211</v>
      </c>
      <c r="N360" s="304">
        <f t="shared" ca="1" si="162"/>
        <v>81.082297091151872</v>
      </c>
      <c r="P360" s="310">
        <f t="shared" ca="1" si="163"/>
        <v>10</v>
      </c>
      <c r="Q360" s="304">
        <f t="shared" ca="1" si="164"/>
        <v>19.541666666708956</v>
      </c>
      <c r="R360" s="306">
        <f t="shared" ca="1" si="165"/>
        <v>9.8070520201471792E-3</v>
      </c>
      <c r="S360" s="307">
        <f t="shared" ca="1" si="166"/>
        <v>5.652126090668812</v>
      </c>
      <c r="T360" s="304">
        <f t="shared" ca="1" si="146"/>
        <v>55.447356949461046</v>
      </c>
      <c r="U360" s="311">
        <f t="shared" ca="1" si="147"/>
        <v>0</v>
      </c>
      <c r="V360" s="306">
        <f t="shared" ca="1" si="148"/>
        <v>1.0732376048400445</v>
      </c>
      <c r="W360" s="304">
        <f t="shared" ca="1" si="149"/>
        <v>204.82449999265643</v>
      </c>
      <c r="Y360" s="314" t="str">
        <f t="shared" ca="1" si="167"/>
        <v/>
      </c>
      <c r="Z360" s="315" t="str">
        <f t="shared" ca="1" si="168"/>
        <v/>
      </c>
      <c r="AA360" s="316" t="str">
        <f t="shared" ca="1" si="169"/>
        <v/>
      </c>
      <c r="AC360" s="310" t="e">
        <f t="shared" ca="1" si="170"/>
        <v>#N/A</v>
      </c>
      <c r="AD360" s="323" t="e">
        <f t="shared" ca="1" si="171"/>
        <v>#N/A</v>
      </c>
      <c r="AE360" s="324">
        <f t="shared" ca="1" si="150"/>
        <v>1320.6849878389141</v>
      </c>
      <c r="AG360" s="306">
        <f t="shared" ca="1" si="172"/>
        <v>-42.575758972567812</v>
      </c>
      <c r="AH360" s="304">
        <f t="shared" ca="1" si="173"/>
        <v>-32.884274005018042</v>
      </c>
    </row>
    <row r="361" spans="1:34" x14ac:dyDescent="0.2">
      <c r="A361" s="347">
        <f t="shared" ca="1" si="151"/>
        <v>0.01</v>
      </c>
      <c r="B361" s="304">
        <f t="shared" ca="1" si="152"/>
        <v>7.5699999999999239</v>
      </c>
      <c r="D361" s="306">
        <f t="shared" ca="1" si="153"/>
        <v>-5.2347746389513059</v>
      </c>
      <c r="E361" s="307">
        <f t="shared" ca="1" si="154"/>
        <v>-43.171130597368602</v>
      </c>
      <c r="F361" s="304">
        <f t="shared" ca="1" si="155"/>
        <v>43.487347384907984</v>
      </c>
      <c r="G361" s="306">
        <f t="shared" ca="1" si="156"/>
        <v>52.581058475220416</v>
      </c>
      <c r="H361" s="307">
        <f t="shared" ca="1" si="157"/>
        <v>335.00009996589563</v>
      </c>
      <c r="I361" s="304">
        <f t="shared" ca="1" si="158"/>
        <v>339.10151088948959</v>
      </c>
      <c r="J361" s="306">
        <f t="shared" ca="1" si="159"/>
        <v>187.75125423298823</v>
      </c>
      <c r="K361" s="307">
        <f t="shared" ca="1" si="160"/>
        <v>1324.0371473951029</v>
      </c>
      <c r="L361" s="304">
        <f t="shared" ca="1" si="145"/>
        <v>1337.2826556671637</v>
      </c>
      <c r="M361" s="306">
        <f t="shared" ca="1" si="161"/>
        <v>1.4151082042431642</v>
      </c>
      <c r="N361" s="304">
        <f t="shared" ca="1" si="162"/>
        <v>81.079727657470201</v>
      </c>
      <c r="P361" s="310">
        <f t="shared" ca="1" si="163"/>
        <v>10</v>
      </c>
      <c r="Q361" s="304">
        <f t="shared" ca="1" si="164"/>
        <v>13.958333333375727</v>
      </c>
      <c r="R361" s="306">
        <f t="shared" ca="1" si="165"/>
        <v>7.0050371572541008E-3</v>
      </c>
      <c r="S361" s="307">
        <f t="shared" ca="1" si="166"/>
        <v>5.6520560402972393</v>
      </c>
      <c r="T361" s="304">
        <f t="shared" ca="1" si="146"/>
        <v>55.446669755315924</v>
      </c>
      <c r="U361" s="311">
        <f t="shared" ca="1" si="147"/>
        <v>0</v>
      </c>
      <c r="V361" s="306">
        <f t="shared" ca="1" si="148"/>
        <v>1.0728763196342366</v>
      </c>
      <c r="W361" s="304">
        <f t="shared" ca="1" si="149"/>
        <v>204.23170982550985</v>
      </c>
      <c r="Y361" s="314" t="str">
        <f t="shared" ca="1" si="167"/>
        <v/>
      </c>
      <c r="Z361" s="315" t="str">
        <f t="shared" ca="1" si="168"/>
        <v/>
      </c>
      <c r="AA361" s="316" t="str">
        <f t="shared" ca="1" si="169"/>
        <v/>
      </c>
      <c r="AC361" s="310" t="e">
        <f t="shared" ca="1" si="170"/>
        <v>#N/A</v>
      </c>
      <c r="AD361" s="323" t="e">
        <f t="shared" ca="1" si="171"/>
        <v>#N/A</v>
      </c>
      <c r="AE361" s="324">
        <f t="shared" ca="1" si="150"/>
        <v>1324.0371473951029</v>
      </c>
      <c r="AG361" s="306">
        <f t="shared" ca="1" si="172"/>
        <v>-43.460750613298465</v>
      </c>
      <c r="AH361" s="304">
        <f t="shared" ca="1" si="173"/>
        <v>-33.76933372536822</v>
      </c>
    </row>
    <row r="362" spans="1:34" x14ac:dyDescent="0.2">
      <c r="A362" s="347">
        <f t="shared" ca="1" si="151"/>
        <v>0.01</v>
      </c>
      <c r="B362" s="304">
        <f t="shared" ca="1" si="152"/>
        <v>7.5799999999999237</v>
      </c>
      <c r="D362" s="306">
        <f t="shared" ca="1" si="153"/>
        <v>-5.3732224970342246</v>
      </c>
      <c r="E362" s="307">
        <f t="shared" ca="1" si="154"/>
        <v>-44.043431692778761</v>
      </c>
      <c r="F362" s="304">
        <f t="shared" ca="1" si="155"/>
        <v>44.36998304348451</v>
      </c>
      <c r="G362" s="306">
        <f t="shared" ca="1" si="156"/>
        <v>52.527326250250077</v>
      </c>
      <c r="H362" s="307">
        <f t="shared" ca="1" si="157"/>
        <v>334.55966564896784</v>
      </c>
      <c r="I362" s="304">
        <f t="shared" ca="1" si="158"/>
        <v>338.65807222351776</v>
      </c>
      <c r="J362" s="306">
        <f t="shared" ca="1" si="159"/>
        <v>188.27679615661557</v>
      </c>
      <c r="K362" s="307">
        <f t="shared" ca="1" si="160"/>
        <v>1327.3849462231772</v>
      </c>
      <c r="L362" s="304">
        <f t="shared" ca="1" si="145"/>
        <v>1340.671081000447</v>
      </c>
      <c r="M362" s="306">
        <f t="shared" ca="1" si="161"/>
        <v>1.4150632876120688</v>
      </c>
      <c r="N362" s="304">
        <f t="shared" ca="1" si="162"/>
        <v>81.07715412407849</v>
      </c>
      <c r="P362" s="310">
        <f t="shared" ca="1" si="163"/>
        <v>10</v>
      </c>
      <c r="Q362" s="304">
        <f t="shared" ca="1" si="164"/>
        <v>8.3750000000424976</v>
      </c>
      <c r="R362" s="306">
        <f t="shared" ca="1" si="165"/>
        <v>4.2030222943610232E-3</v>
      </c>
      <c r="S362" s="307">
        <f t="shared" ca="1" si="166"/>
        <v>5.6520140100742955</v>
      </c>
      <c r="T362" s="304">
        <f t="shared" ca="1" si="146"/>
        <v>55.446257438828844</v>
      </c>
      <c r="U362" s="311">
        <f t="shared" ca="1" si="147"/>
        <v>0</v>
      </c>
      <c r="V362" s="306">
        <f t="shared" ca="1" si="148"/>
        <v>1.0725156177634103</v>
      </c>
      <c r="W362" s="304">
        <f t="shared" ca="1" si="149"/>
        <v>203.62943333144491</v>
      </c>
      <c r="Y362" s="314" t="str">
        <f t="shared" ca="1" si="167"/>
        <v/>
      </c>
      <c r="Z362" s="315" t="str">
        <f t="shared" ca="1" si="168"/>
        <v/>
      </c>
      <c r="AA362" s="316" t="str">
        <f t="shared" ca="1" si="169"/>
        <v/>
      </c>
      <c r="AC362" s="310" t="e">
        <f t="shared" ca="1" si="170"/>
        <v>#N/A</v>
      </c>
      <c r="AD362" s="323" t="e">
        <f t="shared" ca="1" si="171"/>
        <v>#N/A</v>
      </c>
      <c r="AE362" s="324">
        <f t="shared" ca="1" si="150"/>
        <v>1327.3849462231772</v>
      </c>
      <c r="AG362" s="306">
        <f t="shared" ca="1" si="172"/>
        <v>-44.343900759378712</v>
      </c>
      <c r="AH362" s="304">
        <f t="shared" ca="1" si="173"/>
        <v>-34.652552077253759</v>
      </c>
    </row>
    <row r="363" spans="1:34" x14ac:dyDescent="0.2">
      <c r="A363" s="347">
        <f t="shared" ca="1" si="151"/>
        <v>0.01</v>
      </c>
      <c r="B363" s="304">
        <f t="shared" ca="1" si="152"/>
        <v>7.5899999999999235</v>
      </c>
      <c r="D363" s="306">
        <f t="shared" ca="1" si="153"/>
        <v>-5.5114654993436512</v>
      </c>
      <c r="E363" s="307">
        <f t="shared" ca="1" si="154"/>
        <v>-44.913900889824077</v>
      </c>
      <c r="F363" s="304">
        <f t="shared" ca="1" si="155"/>
        <v>45.25079828126124</v>
      </c>
      <c r="G363" s="306">
        <f t="shared" ca="1" si="156"/>
        <v>52.472211595256638</v>
      </c>
      <c r="H363" s="307">
        <f t="shared" ca="1" si="157"/>
        <v>334.11052664006962</v>
      </c>
      <c r="I363" s="304">
        <f t="shared" ca="1" si="158"/>
        <v>338.20582047238935</v>
      </c>
      <c r="J363" s="306">
        <f t="shared" ca="1" si="159"/>
        <v>188.80179384584312</v>
      </c>
      <c r="K363" s="307">
        <f t="shared" ca="1" si="160"/>
        <v>1330.7282971846223</v>
      </c>
      <c r="L363" s="304">
        <f t="shared" ca="1" si="145"/>
        <v>1344.0550279982187</v>
      </c>
      <c r="M363" s="306">
        <f t="shared" ca="1" si="161"/>
        <v>1.4150182980471693</v>
      </c>
      <c r="N363" s="304">
        <f t="shared" ca="1" si="162"/>
        <v>81.07457641188762</v>
      </c>
      <c r="P363" s="310">
        <f t="shared" ca="1" si="163"/>
        <v>10</v>
      </c>
      <c r="Q363" s="304">
        <f t="shared" ca="1" si="164"/>
        <v>2.7916666667092755</v>
      </c>
      <c r="R363" s="306">
        <f t="shared" ca="1" si="165"/>
        <v>1.4010074314679485E-3</v>
      </c>
      <c r="S363" s="307">
        <f t="shared" ca="1" si="166"/>
        <v>5.6519999999999806</v>
      </c>
      <c r="T363" s="304">
        <f t="shared" ca="1" si="146"/>
        <v>55.446119999999816</v>
      </c>
      <c r="U363" s="311">
        <f t="shared" ca="1" si="147"/>
        <v>0</v>
      </c>
      <c r="V363" s="306">
        <f t="shared" ca="1" si="148"/>
        <v>1.0721555081158372</v>
      </c>
      <c r="W363" s="304">
        <f t="shared" ca="1" si="149"/>
        <v>203.01774517601402</v>
      </c>
      <c r="Y363" s="314" t="str">
        <f t="shared" ca="1" si="167"/>
        <v/>
      </c>
      <c r="Z363" s="315" t="str">
        <f t="shared" ca="1" si="168"/>
        <v/>
      </c>
      <c r="AA363" s="316" t="str">
        <f t="shared" ca="1" si="169"/>
        <v/>
      </c>
      <c r="AC363" s="310" t="e">
        <f t="shared" ca="1" si="170"/>
        <v>#N/A</v>
      </c>
      <c r="AD363" s="323" t="e">
        <f t="shared" ca="1" si="171"/>
        <v>#N/A</v>
      </c>
      <c r="AE363" s="324">
        <f t="shared" ca="1" si="150"/>
        <v>1330.7282971846223</v>
      </c>
      <c r="AG363" s="306">
        <f t="shared" ca="1" si="172"/>
        <v>-45.225209340301227</v>
      </c>
      <c r="AH363" s="304">
        <f t="shared" ca="1" si="173"/>
        <v>-35.533928992345423</v>
      </c>
    </row>
    <row r="364" spans="1:34" x14ac:dyDescent="0.2">
      <c r="A364" s="347">
        <f t="shared" ca="1" si="151"/>
        <v>0.01</v>
      </c>
      <c r="B364" s="304">
        <f t="shared" ca="1" si="152"/>
        <v>7.5999999999999233</v>
      </c>
      <c r="D364" s="306">
        <f t="shared" ca="1" si="153"/>
        <v>-5.572885735312429</v>
      </c>
      <c r="E364" s="307">
        <f t="shared" ca="1" si="154"/>
        <v>-45.294682869713164</v>
      </c>
      <c r="F364" s="304">
        <f t="shared" ca="1" si="155"/>
        <v>45.636228499808524</v>
      </c>
      <c r="G364" s="306">
        <f t="shared" ca="1" si="156"/>
        <v>52.416482737903515</v>
      </c>
      <c r="H364" s="307">
        <f t="shared" ca="1" si="157"/>
        <v>333.6575798113725</v>
      </c>
      <c r="I364" s="304">
        <f t="shared" ca="1" si="158"/>
        <v>337.74971240283145</v>
      </c>
      <c r="J364" s="306">
        <f t="shared" ca="1" si="159"/>
        <v>189.32623731750891</v>
      </c>
      <c r="K364" s="307">
        <f t="shared" ca="1" si="160"/>
        <v>1334.0671377168794</v>
      </c>
      <c r="L364" s="304">
        <f t="shared" ca="1" si="145"/>
        <v>1347.4344333112886</v>
      </c>
      <c r="M364" s="306">
        <f t="shared" ca="1" si="161"/>
        <v>1.414973234817801</v>
      </c>
      <c r="N364" s="304">
        <f t="shared" ca="1" si="162"/>
        <v>81.071994479033592</v>
      </c>
      <c r="P364" s="310">
        <f t="shared" ca="1" si="163"/>
        <v>23</v>
      </c>
      <c r="Q364" s="304">
        <f t="shared" ca="1" si="164"/>
        <v>0</v>
      </c>
      <c r="R364" s="306">
        <f t="shared" ca="1" si="165"/>
        <v>0</v>
      </c>
      <c r="S364" s="307">
        <f t="shared" ca="1" si="166"/>
        <v>5.6519999999999806</v>
      </c>
      <c r="T364" s="304">
        <f t="shared" ca="1" si="146"/>
        <v>55.446119999999816</v>
      </c>
      <c r="U364" s="311">
        <f t="shared" ca="1" si="147"/>
        <v>0</v>
      </c>
      <c r="V364" s="306">
        <f t="shared" ca="1" si="148"/>
        <v>1.0717959969232507</v>
      </c>
      <c r="W364" s="304">
        <f t="shared" ca="1" si="149"/>
        <v>202.40263884605301</v>
      </c>
      <c r="Y364" s="314" t="str">
        <f t="shared" ca="1" si="167"/>
        <v>Fin de propulsion</v>
      </c>
      <c r="Z364" s="315" t="str">
        <f t="shared" ca="1" si="168"/>
        <v/>
      </c>
      <c r="AA364" s="316" t="str">
        <f t="shared" ca="1" si="169"/>
        <v/>
      </c>
      <c r="AC364" s="310" t="e">
        <f t="shared" ca="1" si="170"/>
        <v>#N/A</v>
      </c>
      <c r="AD364" s="323" t="e">
        <f t="shared" ca="1" si="171"/>
        <v>#N/A</v>
      </c>
      <c r="AE364" s="324">
        <f t="shared" ca="1" si="150"/>
        <v>1334.0671377168794</v>
      </c>
      <c r="AG364" s="306">
        <f t="shared" ca="1" si="172"/>
        <v>-45.610841249119339</v>
      </c>
      <c r="AH364" s="304">
        <f t="shared" ca="1" si="173"/>
        <v>-35.919629365890785</v>
      </c>
    </row>
    <row r="365" spans="1:34" x14ac:dyDescent="0.2">
      <c r="A365" s="347">
        <f t="shared" ca="1" si="151"/>
        <v>0.01</v>
      </c>
      <c r="B365" s="304">
        <f t="shared" ca="1" si="152"/>
        <v>7.609999999999923</v>
      </c>
      <c r="D365" s="306">
        <f t="shared" ca="1" si="153"/>
        <v>-5.5575951231358109</v>
      </c>
      <c r="E365" s="307">
        <f t="shared" ca="1" si="154"/>
        <v>-45.186920416983092</v>
      </c>
      <c r="F365" s="304">
        <f t="shared" ca="1" si="155"/>
        <v>45.527405376580226</v>
      </c>
      <c r="G365" s="306">
        <f t="shared" ca="1" si="156"/>
        <v>52.360906786672153</v>
      </c>
      <c r="H365" s="307">
        <f t="shared" ca="1" si="157"/>
        <v>333.20571060720266</v>
      </c>
      <c r="I365" s="304">
        <f t="shared" ca="1" si="158"/>
        <v>337.29469331842955</v>
      </c>
      <c r="J365" s="306">
        <f t="shared" ca="1" si="159"/>
        <v>189.8501242651318</v>
      </c>
      <c r="K365" s="307">
        <f t="shared" ca="1" si="160"/>
        <v>1337.4014541689724</v>
      </c>
      <c r="L365" s="304">
        <f t="shared" ca="1" si="145"/>
        <v>1350.809283095422</v>
      </c>
      <c r="M365" s="306">
        <f t="shared" ca="1" si="161"/>
        <v>1.4149280978493928</v>
      </c>
      <c r="N365" s="304">
        <f t="shared" ca="1" si="162"/>
        <v>81.069408321243785</v>
      </c>
      <c r="P365" s="310">
        <f t="shared" ca="1" si="163"/>
        <v>23</v>
      </c>
      <c r="Q365" s="304">
        <f t="shared" ca="1" si="164"/>
        <v>0</v>
      </c>
      <c r="R365" s="306">
        <f t="shared" ca="1" si="165"/>
        <v>0</v>
      </c>
      <c r="S365" s="307">
        <f t="shared" ca="1" si="166"/>
        <v>5.6519999999999806</v>
      </c>
      <c r="T365" s="304">
        <f t="shared" ca="1" si="146"/>
        <v>55.446119999999816</v>
      </c>
      <c r="U365" s="311">
        <f t="shared" ca="1" si="147"/>
        <v>0</v>
      </c>
      <c r="V365" s="306">
        <f t="shared" ca="1" si="148"/>
        <v>1.071437085145915</v>
      </c>
      <c r="W365" s="304">
        <f t="shared" ca="1" si="149"/>
        <v>201.79005336038665</v>
      </c>
      <c r="Y365" s="314" t="str">
        <f t="shared" ca="1" si="167"/>
        <v/>
      </c>
      <c r="Z365" s="315" t="str">
        <f t="shared" ca="1" si="168"/>
        <v/>
      </c>
      <c r="AA365" s="316" t="str">
        <f t="shared" ca="1" si="169"/>
        <v/>
      </c>
      <c r="AC365" s="310" t="e">
        <f t="shared" ca="1" si="170"/>
        <v>#N/A</v>
      </c>
      <c r="AD365" s="323" t="e">
        <f t="shared" ca="1" si="171"/>
        <v>#N/A</v>
      </c>
      <c r="AE365" s="324">
        <f t="shared" ca="1" si="150"/>
        <v>1337.4014541689724</v>
      </c>
      <c r="AG365" s="306">
        <f t="shared" ca="1" si="172"/>
        <v>-45.501942799483913</v>
      </c>
      <c r="AH365" s="304">
        <f t="shared" ca="1" si="173"/>
        <v>-35.810799512748353</v>
      </c>
    </row>
    <row r="366" spans="1:34" x14ac:dyDescent="0.2">
      <c r="A366" s="347">
        <f t="shared" ca="1" si="151"/>
        <v>0.01</v>
      </c>
      <c r="B366" s="304">
        <f t="shared" ca="1" si="152"/>
        <v>7.6199999999999228</v>
      </c>
      <c r="D366" s="306">
        <f t="shared" ca="1" si="153"/>
        <v>-5.5423666482984375</v>
      </c>
      <c r="E366" s="307">
        <f t="shared" ca="1" si="154"/>
        <v>-45.079599608271302</v>
      </c>
      <c r="F366" s="304">
        <f t="shared" ca="1" si="155"/>
        <v>45.419028269066096</v>
      </c>
      <c r="G366" s="306">
        <f t="shared" ca="1" si="156"/>
        <v>52.305483120189166</v>
      </c>
      <c r="H366" s="307">
        <f t="shared" ca="1" si="157"/>
        <v>332.75491461111994</v>
      </c>
      <c r="I366" s="304">
        <f t="shared" ca="1" si="158"/>
        <v>336.84075876041209</v>
      </c>
      <c r="J366" s="306">
        <f t="shared" ca="1" si="159"/>
        <v>190.37345621466611</v>
      </c>
      <c r="K366" s="307">
        <f t="shared" ca="1" si="160"/>
        <v>1340.7312572950639</v>
      </c>
      <c r="L366" s="304">
        <f t="shared" ca="1" si="145"/>
        <v>1354.1795882079748</v>
      </c>
      <c r="M366" s="306">
        <f t="shared" ca="1" si="161"/>
        <v>1.4148828870671659</v>
      </c>
      <c r="N366" s="304">
        <f t="shared" ca="1" si="162"/>
        <v>81.066817934233697</v>
      </c>
      <c r="P366" s="310">
        <f t="shared" ca="1" si="163"/>
        <v>23</v>
      </c>
      <c r="Q366" s="304">
        <f t="shared" ca="1" si="164"/>
        <v>0</v>
      </c>
      <c r="R366" s="306">
        <f t="shared" ca="1" si="165"/>
        <v>0</v>
      </c>
      <c r="S366" s="307">
        <f t="shared" ca="1" si="166"/>
        <v>5.6519999999999806</v>
      </c>
      <c r="T366" s="304">
        <f t="shared" ca="1" si="146"/>
        <v>55.446119999999816</v>
      </c>
      <c r="U366" s="311">
        <f t="shared" ca="1" si="147"/>
        <v>0</v>
      </c>
      <c r="V366" s="306">
        <f t="shared" ca="1" si="148"/>
        <v>1.0710787711175529</v>
      </c>
      <c r="W366" s="304">
        <f t="shared" ca="1" si="149"/>
        <v>201.17997484299519</v>
      </c>
      <c r="Y366" s="314" t="str">
        <f t="shared" ca="1" si="167"/>
        <v/>
      </c>
      <c r="Z366" s="315" t="str">
        <f t="shared" ca="1" si="168"/>
        <v/>
      </c>
      <c r="AA366" s="316" t="str">
        <f t="shared" ca="1" si="169"/>
        <v/>
      </c>
      <c r="AC366" s="310" t="e">
        <f t="shared" ca="1" si="170"/>
        <v>#N/A</v>
      </c>
      <c r="AD366" s="323" t="e">
        <f t="shared" ca="1" si="171"/>
        <v>#N/A</v>
      </c>
      <c r="AE366" s="324">
        <f t="shared" ca="1" si="150"/>
        <v>1340.7312572950639</v>
      </c>
      <c r="AG366" s="306">
        <f t="shared" ca="1" si="172"/>
        <v>-45.393490227125213</v>
      </c>
      <c r="AH366" s="304">
        <f t="shared" ca="1" si="173"/>
        <v>-35.702415668858343</v>
      </c>
    </row>
    <row r="367" spans="1:34" x14ac:dyDescent="0.2">
      <c r="A367" s="347">
        <f t="shared" ca="1" si="151"/>
        <v>0.01</v>
      </c>
      <c r="B367" s="304">
        <f t="shared" ca="1" si="152"/>
        <v>7.6299999999999226</v>
      </c>
      <c r="D367" s="306">
        <f t="shared" ca="1" si="153"/>
        <v>-5.5271999682221935</v>
      </c>
      <c r="E367" s="307">
        <f t="shared" ca="1" si="154"/>
        <v>-44.972718012530045</v>
      </c>
      <c r="F367" s="304">
        <f t="shared" ca="1" si="155"/>
        <v>45.311094722189836</v>
      </c>
      <c r="G367" s="306">
        <f t="shared" ca="1" si="156"/>
        <v>52.250211120506947</v>
      </c>
      <c r="H367" s="307">
        <f t="shared" ca="1" si="157"/>
        <v>332.30518743099464</v>
      </c>
      <c r="I367" s="304">
        <f t="shared" ca="1" si="158"/>
        <v>336.38790429455997</v>
      </c>
      <c r="J367" s="306">
        <f t="shared" ca="1" si="159"/>
        <v>190.89623468586959</v>
      </c>
      <c r="K367" s="307">
        <f t="shared" ca="1" si="160"/>
        <v>1344.0565578052745</v>
      </c>
      <c r="L367" s="304">
        <f t="shared" ca="1" si="145"/>
        <v>1357.5453594619244</v>
      </c>
      <c r="M367" s="306">
        <f t="shared" ca="1" si="161"/>
        <v>1.4148376023961358</v>
      </c>
      <c r="N367" s="304">
        <f t="shared" ca="1" si="162"/>
        <v>81.064223313707032</v>
      </c>
      <c r="P367" s="310">
        <f t="shared" ca="1" si="163"/>
        <v>23</v>
      </c>
      <c r="Q367" s="304">
        <f t="shared" ca="1" si="164"/>
        <v>0</v>
      </c>
      <c r="R367" s="306">
        <f t="shared" ca="1" si="165"/>
        <v>0</v>
      </c>
      <c r="S367" s="307">
        <f t="shared" ca="1" si="166"/>
        <v>5.6519999999999806</v>
      </c>
      <c r="T367" s="304">
        <f t="shared" ca="1" si="146"/>
        <v>55.446119999999816</v>
      </c>
      <c r="U367" s="311">
        <f t="shared" ca="1" si="147"/>
        <v>0</v>
      </c>
      <c r="V367" s="306">
        <f t="shared" ca="1" si="148"/>
        <v>1.0707210531791469</v>
      </c>
      <c r="W367" s="304">
        <f t="shared" ca="1" si="149"/>
        <v>200.57238951411395</v>
      </c>
      <c r="Y367" s="314" t="str">
        <f t="shared" ca="1" si="167"/>
        <v/>
      </c>
      <c r="Z367" s="315" t="str">
        <f t="shared" ca="1" si="168"/>
        <v/>
      </c>
      <c r="AA367" s="316" t="str">
        <f t="shared" ca="1" si="169"/>
        <v/>
      </c>
      <c r="AC367" s="310" t="e">
        <f t="shared" ca="1" si="170"/>
        <v>#N/A</v>
      </c>
      <c r="AD367" s="323" t="e">
        <f t="shared" ca="1" si="171"/>
        <v>#N/A</v>
      </c>
      <c r="AE367" s="324">
        <f t="shared" ca="1" si="150"/>
        <v>1344.0565578052745</v>
      </c>
      <c r="AG367" s="306">
        <f t="shared" ca="1" si="172"/>
        <v>-45.285481076769045</v>
      </c>
      <c r="AH367" s="304">
        <f t="shared" ca="1" si="173"/>
        <v>-35.594475379157089</v>
      </c>
    </row>
    <row r="368" spans="1:34" x14ac:dyDescent="0.2">
      <c r="A368" s="347">
        <f t="shared" ca="1" si="151"/>
        <v>0.01</v>
      </c>
      <c r="B368" s="304">
        <f t="shared" ca="1" si="152"/>
        <v>7.6399999999999224</v>
      </c>
      <c r="D368" s="306">
        <f t="shared" ca="1" si="153"/>
        <v>-5.5120947427049867</v>
      </c>
      <c r="E368" s="307">
        <f t="shared" ca="1" si="154"/>
        <v>-44.866273215575283</v>
      </c>
      <c r="F368" s="304">
        <f t="shared" ca="1" si="155"/>
        <v>45.203602297905462</v>
      </c>
      <c r="G368" s="306">
        <f t="shared" ca="1" si="156"/>
        <v>52.195090173079898</v>
      </c>
      <c r="H368" s="307">
        <f t="shared" ca="1" si="157"/>
        <v>331.85652469883888</v>
      </c>
      <c r="I368" s="304">
        <f t="shared" ca="1" si="158"/>
        <v>335.93612551103672</v>
      </c>
      <c r="J368" s="306">
        <f t="shared" ca="1" si="159"/>
        <v>191.41846119233753</v>
      </c>
      <c r="K368" s="307">
        <f t="shared" ca="1" si="160"/>
        <v>1347.3773663659235</v>
      </c>
      <c r="L368" s="304">
        <f t="shared" ca="1" si="145"/>
        <v>1360.9066076261129</v>
      </c>
      <c r="M368" s="306">
        <f t="shared" ca="1" si="161"/>
        <v>1.4147922437611102</v>
      </c>
      <c r="N368" s="304">
        <f t="shared" ca="1" si="162"/>
        <v>81.061624455355599</v>
      </c>
      <c r="P368" s="310">
        <f t="shared" ca="1" si="163"/>
        <v>23</v>
      </c>
      <c r="Q368" s="304">
        <f t="shared" ca="1" si="164"/>
        <v>0</v>
      </c>
      <c r="R368" s="306">
        <f t="shared" ca="1" si="165"/>
        <v>0</v>
      </c>
      <c r="S368" s="307">
        <f t="shared" ca="1" si="166"/>
        <v>5.6519999999999806</v>
      </c>
      <c r="T368" s="304">
        <f t="shared" ca="1" si="146"/>
        <v>55.446119999999816</v>
      </c>
      <c r="U368" s="311">
        <f t="shared" ca="1" si="147"/>
        <v>0</v>
      </c>
      <c r="V368" s="306">
        <f t="shared" ca="1" si="148"/>
        <v>1.0703639296788958</v>
      </c>
      <c r="W368" s="304">
        <f t="shared" ca="1" si="149"/>
        <v>199.96728368942857</v>
      </c>
      <c r="Y368" s="314" t="str">
        <f t="shared" ca="1" si="167"/>
        <v/>
      </c>
      <c r="Z368" s="315" t="str">
        <f t="shared" ca="1" si="168"/>
        <v/>
      </c>
      <c r="AA368" s="316" t="str">
        <f t="shared" ca="1" si="169"/>
        <v/>
      </c>
      <c r="AC368" s="310" t="e">
        <f t="shared" ca="1" si="170"/>
        <v>#N/A</v>
      </c>
      <c r="AD368" s="323" t="e">
        <f t="shared" ca="1" si="171"/>
        <v>#N/A</v>
      </c>
      <c r="AE368" s="324">
        <f t="shared" ca="1" si="150"/>
        <v>1347.3773663659235</v>
      </c>
      <c r="AG368" s="306">
        <f t="shared" ca="1" si="172"/>
        <v>-45.177912910170896</v>
      </c>
      <c r="AH368" s="304">
        <f t="shared" ca="1" si="173"/>
        <v>-35.486976205611221</v>
      </c>
    </row>
    <row r="369" spans="1:34" x14ac:dyDescent="0.2">
      <c r="A369" s="347">
        <f t="shared" ca="1" si="151"/>
        <v>0.01</v>
      </c>
      <c r="B369" s="304">
        <f t="shared" ca="1" si="152"/>
        <v>7.6499999999999222</v>
      </c>
      <c r="D369" s="306">
        <f t="shared" ca="1" si="153"/>
        <v>-5.4970506339009075</v>
      </c>
      <c r="E369" s="307">
        <f t="shared" ca="1" si="154"/>
        <v>-44.760262819945659</v>
      </c>
      <c r="F369" s="304">
        <f t="shared" ca="1" si="155"/>
        <v>45.096548575054832</v>
      </c>
      <c r="G369" s="306">
        <f t="shared" ca="1" si="156"/>
        <v>52.140119666740887</v>
      </c>
      <c r="H369" s="307">
        <f t="shared" ca="1" si="157"/>
        <v>331.40892207063945</v>
      </c>
      <c r="I369" s="304">
        <f t="shared" ca="1" si="158"/>
        <v>335.48541802421937</v>
      </c>
      <c r="J369" s="306">
        <f t="shared" ca="1" si="159"/>
        <v>191.94013724153663</v>
      </c>
      <c r="K369" s="307">
        <f t="shared" ca="1" si="160"/>
        <v>1350.693693599771</v>
      </c>
      <c r="L369" s="304">
        <f t="shared" ca="1" si="145"/>
        <v>1364.2633434254885</v>
      </c>
      <c r="M369" s="306">
        <f t="shared" ca="1" si="161"/>
        <v>1.4147468110866896</v>
      </c>
      <c r="N369" s="304">
        <f t="shared" ca="1" si="162"/>
        <v>81.059021354859297</v>
      </c>
      <c r="P369" s="310">
        <f t="shared" ca="1" si="163"/>
        <v>23</v>
      </c>
      <c r="Q369" s="304">
        <f t="shared" ca="1" si="164"/>
        <v>0</v>
      </c>
      <c r="R369" s="306">
        <f t="shared" ca="1" si="165"/>
        <v>0</v>
      </c>
      <c r="S369" s="307">
        <f t="shared" ca="1" si="166"/>
        <v>5.6519999999999806</v>
      </c>
      <c r="T369" s="304">
        <f t="shared" ca="1" si="146"/>
        <v>55.446119999999816</v>
      </c>
      <c r="U369" s="311">
        <f t="shared" ca="1" si="147"/>
        <v>0</v>
      </c>
      <c r="V369" s="306">
        <f t="shared" ca="1" si="148"/>
        <v>1.0700073989721735</v>
      </c>
      <c r="W369" s="304">
        <f t="shared" ca="1" si="149"/>
        <v>199.36464377927845</v>
      </c>
      <c r="Y369" s="314" t="str">
        <f t="shared" ca="1" si="167"/>
        <v/>
      </c>
      <c r="Z369" s="315" t="str">
        <f t="shared" ca="1" si="168"/>
        <v/>
      </c>
      <c r="AA369" s="316" t="str">
        <f t="shared" ca="1" si="169"/>
        <v/>
      </c>
      <c r="AC369" s="310" t="e">
        <f t="shared" ca="1" si="170"/>
        <v>#N/A</v>
      </c>
      <c r="AD369" s="323" t="e">
        <f t="shared" ca="1" si="171"/>
        <v>#N/A</v>
      </c>
      <c r="AE369" s="324">
        <f t="shared" ca="1" si="150"/>
        <v>1350.693693599771</v>
      </c>
      <c r="AG369" s="306">
        <f t="shared" ca="1" si="172"/>
        <v>-45.070783305973528</v>
      </c>
      <c r="AH369" s="304">
        <f t="shared" ca="1" si="173"/>
        <v>-35.379915727075243</v>
      </c>
    </row>
    <row r="370" spans="1:34" x14ac:dyDescent="0.2">
      <c r="A370" s="347">
        <f t="shared" ca="1" si="151"/>
        <v>0.01</v>
      </c>
      <c r="B370" s="304">
        <f t="shared" ca="1" si="152"/>
        <v>7.659999999999922</v>
      </c>
      <c r="D370" s="306">
        <f t="shared" ca="1" si="153"/>
        <v>-5.4820673063005652</v>
      </c>
      <c r="E370" s="307">
        <f t="shared" ca="1" si="154"/>
        <v>-44.654684444762928</v>
      </c>
      <c r="F370" s="304">
        <f t="shared" ca="1" si="155"/>
        <v>44.989931149226734</v>
      </c>
      <c r="G370" s="306">
        <f t="shared" ca="1" si="156"/>
        <v>52.085298993677881</v>
      </c>
      <c r="H370" s="307">
        <f t="shared" ca="1" si="157"/>
        <v>330.9623752261918</v>
      </c>
      <c r="I370" s="304">
        <f t="shared" ca="1" si="158"/>
        <v>335.03577747253115</v>
      </c>
      <c r="J370" s="306">
        <f t="shared" ca="1" si="159"/>
        <v>192.46126433483872</v>
      </c>
      <c r="K370" s="307">
        <f t="shared" ca="1" si="160"/>
        <v>1354.0055500862552</v>
      </c>
      <c r="L370" s="304">
        <f t="shared" ca="1" si="145"/>
        <v>1367.6155775413451</v>
      </c>
      <c r="M370" s="306">
        <f t="shared" ca="1" si="161"/>
        <v>1.4147013042972671</v>
      </c>
      <c r="N370" s="304">
        <f t="shared" ca="1" si="162"/>
        <v>81.056414007886204</v>
      </c>
      <c r="P370" s="310">
        <f t="shared" ca="1" si="163"/>
        <v>23</v>
      </c>
      <c r="Q370" s="304">
        <f t="shared" ca="1" si="164"/>
        <v>0</v>
      </c>
      <c r="R370" s="306">
        <f t="shared" ca="1" si="165"/>
        <v>0</v>
      </c>
      <c r="S370" s="307">
        <f t="shared" ca="1" si="166"/>
        <v>5.6519999999999806</v>
      </c>
      <c r="T370" s="304">
        <f t="shared" ca="1" si="146"/>
        <v>55.446119999999816</v>
      </c>
      <c r="U370" s="311">
        <f t="shared" ca="1" si="147"/>
        <v>0</v>
      </c>
      <c r="V370" s="306">
        <f t="shared" ca="1" si="148"/>
        <v>1.069651459421489</v>
      </c>
      <c r="W370" s="304">
        <f t="shared" ca="1" si="149"/>
        <v>198.76445628786826</v>
      </c>
      <c r="Y370" s="314" t="str">
        <f t="shared" ca="1" si="167"/>
        <v/>
      </c>
      <c r="Z370" s="315" t="str">
        <f t="shared" ca="1" si="168"/>
        <v/>
      </c>
      <c r="AA370" s="316" t="str">
        <f t="shared" ca="1" si="169"/>
        <v/>
      </c>
      <c r="AC370" s="310" t="e">
        <f t="shared" ca="1" si="170"/>
        <v>#N/A</v>
      </c>
      <c r="AD370" s="323" t="e">
        <f t="shared" ca="1" si="171"/>
        <v>#N/A</v>
      </c>
      <c r="AE370" s="324">
        <f t="shared" ca="1" si="150"/>
        <v>1354.0055500862552</v>
      </c>
      <c r="AG370" s="306">
        <f t="shared" ca="1" si="172"/>
        <v>-44.964089859566016</v>
      </c>
      <c r="AH370" s="304">
        <f t="shared" ca="1" si="173"/>
        <v>-35.273291539150591</v>
      </c>
    </row>
    <row r="371" spans="1:34" x14ac:dyDescent="0.2">
      <c r="A371" s="347">
        <f t="shared" ca="1" si="151"/>
        <v>0.01</v>
      </c>
      <c r="B371" s="304">
        <f t="shared" ca="1" si="152"/>
        <v>7.6699999999999218</v>
      </c>
      <c r="D371" s="306">
        <f t="shared" ca="1" si="153"/>
        <v>-5.4671444267116041</v>
      </c>
      <c r="E371" s="307">
        <f t="shared" ca="1" si="154"/>
        <v>-44.549535725593856</v>
      </c>
      <c r="F371" s="304">
        <f t="shared" ca="1" si="155"/>
        <v>44.883747632617386</v>
      </c>
      <c r="G371" s="306">
        <f t="shared" ca="1" si="156"/>
        <v>52.030627549410767</v>
      </c>
      <c r="H371" s="307">
        <f t="shared" ca="1" si="157"/>
        <v>330.51687986893586</v>
      </c>
      <c r="I371" s="304">
        <f t="shared" ca="1" si="158"/>
        <v>334.58719951827516</v>
      </c>
      <c r="J371" s="306">
        <f t="shared" ca="1" si="159"/>
        <v>192.98184396755417</v>
      </c>
      <c r="K371" s="307">
        <f t="shared" ca="1" si="160"/>
        <v>1357.3129463617308</v>
      </c>
      <c r="L371" s="304">
        <f t="shared" ca="1" si="145"/>
        <v>1370.9633206115618</v>
      </c>
      <c r="M371" s="306">
        <f t="shared" ca="1" si="161"/>
        <v>1.4146557233170267</v>
      </c>
      <c r="N371" s="304">
        <f t="shared" ca="1" si="162"/>
        <v>81.053802410092359</v>
      </c>
      <c r="P371" s="310">
        <f t="shared" ca="1" si="163"/>
        <v>23</v>
      </c>
      <c r="Q371" s="304">
        <f t="shared" ca="1" si="164"/>
        <v>0</v>
      </c>
      <c r="R371" s="306">
        <f t="shared" ca="1" si="165"/>
        <v>0</v>
      </c>
      <c r="S371" s="307">
        <f t="shared" ca="1" si="166"/>
        <v>5.6519999999999806</v>
      </c>
      <c r="T371" s="304">
        <f t="shared" ca="1" si="146"/>
        <v>55.446119999999816</v>
      </c>
      <c r="U371" s="311">
        <f t="shared" ca="1" si="147"/>
        <v>0</v>
      </c>
      <c r="V371" s="306">
        <f t="shared" ca="1" si="148"/>
        <v>1.0692961093964433</v>
      </c>
      <c r="W371" s="304">
        <f t="shared" ca="1" si="149"/>
        <v>198.16670781248573</v>
      </c>
      <c r="Y371" s="314" t="str">
        <f t="shared" ca="1" si="167"/>
        <v/>
      </c>
      <c r="Z371" s="315" t="str">
        <f t="shared" ca="1" si="168"/>
        <v/>
      </c>
      <c r="AA371" s="316" t="str">
        <f t="shared" ca="1" si="169"/>
        <v/>
      </c>
      <c r="AC371" s="310" t="e">
        <f t="shared" ca="1" si="170"/>
        <v>#N/A</v>
      </c>
      <c r="AD371" s="323" t="e">
        <f t="shared" ca="1" si="171"/>
        <v>#N/A</v>
      </c>
      <c r="AE371" s="324">
        <f t="shared" ca="1" si="150"/>
        <v>1357.3129463617308</v>
      </c>
      <c r="AG371" s="306">
        <f t="shared" ca="1" si="172"/>
        <v>-44.857830182944319</v>
      </c>
      <c r="AH371" s="304">
        <f t="shared" ca="1" si="173"/>
        <v>-35.167101254046166</v>
      </c>
    </row>
    <row r="372" spans="1:34" x14ac:dyDescent="0.2">
      <c r="A372" s="347">
        <f t="shared" ca="1" si="151"/>
        <v>0.01</v>
      </c>
      <c r="B372" s="304">
        <f t="shared" ca="1" si="152"/>
        <v>7.6799999999999216</v>
      </c>
      <c r="D372" s="306">
        <f t="shared" ca="1" si="153"/>
        <v>-5.4522816642394405</v>
      </c>
      <c r="E372" s="307">
        <f t="shared" ca="1" si="154"/>
        <v>-44.444814314313177</v>
      </c>
      <c r="F372" s="304">
        <f t="shared" ca="1" si="155"/>
        <v>44.777995653892091</v>
      </c>
      <c r="G372" s="306">
        <f t="shared" ca="1" si="156"/>
        <v>51.97610473276837</v>
      </c>
      <c r="H372" s="307">
        <f t="shared" ca="1" si="157"/>
        <v>330.07243172579274</v>
      </c>
      <c r="I372" s="304">
        <f t="shared" ca="1" si="158"/>
        <v>334.13967984747012</v>
      </c>
      <c r="J372" s="306">
        <f t="shared" ca="1" si="159"/>
        <v>193.50187762896508</v>
      </c>
      <c r="K372" s="307">
        <f t="shared" ca="1" si="160"/>
        <v>1360.6158929197045</v>
      </c>
      <c r="L372" s="304">
        <f t="shared" ca="1" si="145"/>
        <v>1374.3065832308378</v>
      </c>
      <c r="M372" s="306">
        <f t="shared" ca="1" si="161"/>
        <v>1.4146100680699447</v>
      </c>
      <c r="N372" s="304">
        <f t="shared" ca="1" si="162"/>
        <v>81.051186557121923</v>
      </c>
      <c r="P372" s="310">
        <f t="shared" ca="1" si="163"/>
        <v>23</v>
      </c>
      <c r="Q372" s="304">
        <f t="shared" ca="1" si="164"/>
        <v>0</v>
      </c>
      <c r="R372" s="306">
        <f t="shared" ca="1" si="165"/>
        <v>0</v>
      </c>
      <c r="S372" s="307">
        <f t="shared" ca="1" si="166"/>
        <v>5.6519999999999806</v>
      </c>
      <c r="T372" s="304">
        <f t="shared" ca="1" si="146"/>
        <v>55.446119999999816</v>
      </c>
      <c r="U372" s="311">
        <f t="shared" ca="1" si="147"/>
        <v>0</v>
      </c>
      <c r="V372" s="306">
        <f t="shared" ca="1" si="148"/>
        <v>1.0689413472736891</v>
      </c>
      <c r="W372" s="304">
        <f t="shared" ca="1" si="149"/>
        <v>197.57138504272905</v>
      </c>
      <c r="Y372" s="314" t="str">
        <f t="shared" ca="1" si="167"/>
        <v/>
      </c>
      <c r="Z372" s="315" t="str">
        <f t="shared" ca="1" si="168"/>
        <v/>
      </c>
      <c r="AA372" s="316" t="str">
        <f t="shared" ca="1" si="169"/>
        <v/>
      </c>
      <c r="AC372" s="310" t="e">
        <f t="shared" ca="1" si="170"/>
        <v>#N/A</v>
      </c>
      <c r="AD372" s="323" t="e">
        <f t="shared" ca="1" si="171"/>
        <v>#N/A</v>
      </c>
      <c r="AE372" s="324">
        <f t="shared" ca="1" si="150"/>
        <v>1360.6158929197045</v>
      </c>
      <c r="AG372" s="306">
        <f t="shared" ca="1" si="172"/>
        <v>-44.752001904572808</v>
      </c>
      <c r="AH372" s="304">
        <f t="shared" ca="1" si="173"/>
        <v>-35.061342500439913</v>
      </c>
    </row>
    <row r="373" spans="1:34" x14ac:dyDescent="0.2">
      <c r="A373" s="347">
        <f t="shared" ca="1" si="151"/>
        <v>0.01</v>
      </c>
      <c r="B373" s="304">
        <f t="shared" ca="1" si="152"/>
        <v>7.6899999999999213</v>
      </c>
      <c r="D373" s="306">
        <f t="shared" ca="1" si="153"/>
        <v>-5.4374786902681329</v>
      </c>
      <c r="E373" s="307">
        <f t="shared" ca="1" si="154"/>
        <v>-44.340517878968193</v>
      </c>
      <c r="F373" s="304">
        <f t="shared" ca="1" si="155"/>
        <v>44.672672858048443</v>
      </c>
      <c r="G373" s="306">
        <f t="shared" ca="1" si="156"/>
        <v>51.921729945865685</v>
      </c>
      <c r="H373" s="307">
        <f t="shared" ca="1" si="157"/>
        <v>329.62902654700304</v>
      </c>
      <c r="I373" s="304">
        <f t="shared" ca="1" si="158"/>
        <v>333.69321416968648</v>
      </c>
      <c r="J373" s="306">
        <f t="shared" ca="1" si="159"/>
        <v>194.02136680235824</v>
      </c>
      <c r="K373" s="307">
        <f t="shared" ca="1" si="160"/>
        <v>1363.9144002110684</v>
      </c>
      <c r="L373" s="304">
        <f t="shared" ca="1" si="145"/>
        <v>1377.6453759509279</v>
      </c>
      <c r="M373" s="306">
        <f t="shared" ca="1" si="161"/>
        <v>1.4145643384797884</v>
      </c>
      <c r="N373" s="304">
        <f t="shared" ca="1" si="162"/>
        <v>81.048566444607104</v>
      </c>
      <c r="P373" s="310">
        <f t="shared" ca="1" si="163"/>
        <v>23</v>
      </c>
      <c r="Q373" s="304">
        <f t="shared" ca="1" si="164"/>
        <v>0</v>
      </c>
      <c r="R373" s="306">
        <f t="shared" ca="1" si="165"/>
        <v>0</v>
      </c>
      <c r="S373" s="307">
        <f t="shared" ca="1" si="166"/>
        <v>5.6519999999999806</v>
      </c>
      <c r="T373" s="304">
        <f t="shared" ca="1" si="146"/>
        <v>55.446119999999816</v>
      </c>
      <c r="U373" s="311">
        <f t="shared" ca="1" si="147"/>
        <v>0</v>
      </c>
      <c r="V373" s="306">
        <f t="shared" ca="1" si="148"/>
        <v>1.0685871714368924</v>
      </c>
      <c r="W373" s="304">
        <f t="shared" ca="1" si="149"/>
        <v>196.9784747597401</v>
      </c>
      <c r="Y373" s="314" t="str">
        <f t="shared" ca="1" si="167"/>
        <v/>
      </c>
      <c r="Z373" s="315" t="str">
        <f t="shared" ca="1" si="168"/>
        <v/>
      </c>
      <c r="AA373" s="316" t="str">
        <f t="shared" ca="1" si="169"/>
        <v/>
      </c>
      <c r="AC373" s="310" t="e">
        <f t="shared" ca="1" si="170"/>
        <v>#N/A</v>
      </c>
      <c r="AD373" s="323" t="e">
        <f t="shared" ca="1" si="171"/>
        <v>#N/A</v>
      </c>
      <c r="AE373" s="324">
        <f t="shared" ca="1" si="150"/>
        <v>1363.9144002110684</v>
      </c>
      <c r="AG373" s="306">
        <f t="shared" ca="1" si="172"/>
        <v>-44.646602669247592</v>
      </c>
      <c r="AH373" s="304">
        <f t="shared" ca="1" si="173"/>
        <v>-34.956012923342129</v>
      </c>
    </row>
    <row r="374" spans="1:34" x14ac:dyDescent="0.2">
      <c r="A374" s="347">
        <f t="shared" ca="1" si="151"/>
        <v>0.01</v>
      </c>
      <c r="B374" s="304">
        <f t="shared" ca="1" si="152"/>
        <v>7.6999999999999211</v>
      </c>
      <c r="D374" s="306">
        <f t="shared" ca="1" si="153"/>
        <v>-5.4227351784414921</v>
      </c>
      <c r="E374" s="307">
        <f t="shared" ca="1" si="154"/>
        <v>-44.23664410364448</v>
      </c>
      <c r="F374" s="304">
        <f t="shared" ca="1" si="155"/>
        <v>44.567776906280741</v>
      </c>
      <c r="G374" s="306">
        <f t="shared" ca="1" si="156"/>
        <v>51.867502594081273</v>
      </c>
      <c r="H374" s="307">
        <f t="shared" ca="1" si="157"/>
        <v>329.18666010596661</v>
      </c>
      <c r="I374" s="304">
        <f t="shared" ca="1" si="158"/>
        <v>333.24779821788502</v>
      </c>
      <c r="J374" s="306">
        <f t="shared" ca="1" si="159"/>
        <v>194.54031296505798</v>
      </c>
      <c r="K374" s="307">
        <f t="shared" ca="1" si="160"/>
        <v>1367.2084786443331</v>
      </c>
      <c r="L374" s="304">
        <f t="shared" ca="1" si="145"/>
        <v>1380.9797092808767</v>
      </c>
      <c r="M374" s="306">
        <f t="shared" ca="1" si="161"/>
        <v>1.4145185344701157</v>
      </c>
      <c r="N374" s="304">
        <f t="shared" ca="1" si="162"/>
        <v>81.045942068168088</v>
      </c>
      <c r="P374" s="310">
        <f t="shared" ca="1" si="163"/>
        <v>23</v>
      </c>
      <c r="Q374" s="304">
        <f t="shared" ca="1" si="164"/>
        <v>0</v>
      </c>
      <c r="R374" s="306">
        <f t="shared" ca="1" si="165"/>
        <v>0</v>
      </c>
      <c r="S374" s="307">
        <f t="shared" ca="1" si="166"/>
        <v>5.6519999999999806</v>
      </c>
      <c r="T374" s="304">
        <f t="shared" ca="1" si="146"/>
        <v>55.446119999999816</v>
      </c>
      <c r="U374" s="311">
        <f t="shared" ca="1" si="147"/>
        <v>0</v>
      </c>
      <c r="V374" s="306">
        <f t="shared" ca="1" si="148"/>
        <v>1.0682335802766905</v>
      </c>
      <c r="W374" s="304">
        <f t="shared" ca="1" si="149"/>
        <v>196.38796383544633</v>
      </c>
      <c r="Y374" s="314" t="str">
        <f t="shared" ca="1" si="167"/>
        <v/>
      </c>
      <c r="Z374" s="315" t="str">
        <f t="shared" ca="1" si="168"/>
        <v/>
      </c>
      <c r="AA374" s="316" t="str">
        <f t="shared" ca="1" si="169"/>
        <v/>
      </c>
      <c r="AC374" s="310" t="e">
        <f t="shared" ca="1" si="170"/>
        <v>#N/A</v>
      </c>
      <c r="AD374" s="323" t="e">
        <f t="shared" ca="1" si="171"/>
        <v>#N/A</v>
      </c>
      <c r="AE374" s="324">
        <f t="shared" ca="1" si="150"/>
        <v>1367.2084786443331</v>
      </c>
      <c r="AG374" s="306">
        <f t="shared" ca="1" si="172"/>
        <v>-44.541630137960865</v>
      </c>
      <c r="AH374" s="304">
        <f t="shared" ca="1" si="173"/>
        <v>-34.851110183959797</v>
      </c>
    </row>
    <row r="375" spans="1:34" x14ac:dyDescent="0.2">
      <c r="A375" s="347">
        <f t="shared" ca="1" si="151"/>
        <v>0.01</v>
      </c>
      <c r="B375" s="304">
        <f t="shared" ca="1" si="152"/>
        <v>7.7099999999999209</v>
      </c>
      <c r="D375" s="306">
        <f t="shared" ca="1" si="153"/>
        <v>-5.4080508046443541</v>
      </c>
      <c r="E375" s="307">
        <f t="shared" ca="1" si="154"/>
        <v>-44.133190688333052</v>
      </c>
      <c r="F375" s="304">
        <f t="shared" ca="1" si="155"/>
        <v>44.463305475845829</v>
      </c>
      <c r="G375" s="306">
        <f t="shared" ca="1" si="156"/>
        <v>51.813422086034826</v>
      </c>
      <c r="H375" s="307">
        <f t="shared" ca="1" si="157"/>
        <v>328.7453281990833</v>
      </c>
      <c r="I375" s="304">
        <f t="shared" ca="1" si="158"/>
        <v>332.8034277482559</v>
      </c>
      <c r="J375" s="306">
        <f t="shared" ca="1" si="159"/>
        <v>195.05871758845856</v>
      </c>
      <c r="K375" s="307">
        <f t="shared" ca="1" si="160"/>
        <v>1370.4981385858584</v>
      </c>
      <c r="L375" s="304">
        <f t="shared" ca="1" si="145"/>
        <v>1384.3095936872492</v>
      </c>
      <c r="M375" s="306">
        <f t="shared" ca="1" si="161"/>
        <v>1.4144726559642751</v>
      </c>
      <c r="N375" s="304">
        <f t="shared" ca="1" si="162"/>
        <v>81.043313423413053</v>
      </c>
      <c r="P375" s="310">
        <f t="shared" ca="1" si="163"/>
        <v>23</v>
      </c>
      <c r="Q375" s="304">
        <f t="shared" ca="1" si="164"/>
        <v>0</v>
      </c>
      <c r="R375" s="306">
        <f t="shared" ca="1" si="165"/>
        <v>0</v>
      </c>
      <c r="S375" s="307">
        <f t="shared" ca="1" si="166"/>
        <v>5.6519999999999806</v>
      </c>
      <c r="T375" s="304">
        <f t="shared" ca="1" si="146"/>
        <v>55.446119999999816</v>
      </c>
      <c r="U375" s="311">
        <f t="shared" ca="1" si="147"/>
        <v>0</v>
      </c>
      <c r="V375" s="306">
        <f t="shared" ca="1" si="148"/>
        <v>1.0678805721906517</v>
      </c>
      <c r="W375" s="304">
        <f t="shared" ca="1" si="149"/>
        <v>195.79983923180907</v>
      </c>
      <c r="Y375" s="314" t="str">
        <f t="shared" ca="1" si="167"/>
        <v/>
      </c>
      <c r="Z375" s="315" t="str">
        <f t="shared" ca="1" si="168"/>
        <v/>
      </c>
      <c r="AA375" s="316" t="str">
        <f t="shared" ca="1" si="169"/>
        <v/>
      </c>
      <c r="AC375" s="310" t="e">
        <f t="shared" ca="1" si="170"/>
        <v>#N/A</v>
      </c>
      <c r="AD375" s="323" t="e">
        <f t="shared" ca="1" si="171"/>
        <v>#N/A</v>
      </c>
      <c r="AE375" s="324">
        <f t="shared" ca="1" si="150"/>
        <v>1370.4981385858584</v>
      </c>
      <c r="AG375" s="306">
        <f t="shared" ca="1" si="172"/>
        <v>-44.437081987766781</v>
      </c>
      <c r="AH375" s="304">
        <f t="shared" ca="1" si="173"/>
        <v>-34.746631959562457</v>
      </c>
    </row>
    <row r="376" spans="1:34" x14ac:dyDescent="0.2">
      <c r="A376" s="347">
        <f t="shared" ca="1" si="151"/>
        <v>0.01</v>
      </c>
      <c r="B376" s="304">
        <f t="shared" ca="1" si="152"/>
        <v>7.7199999999999207</v>
      </c>
      <c r="D376" s="306">
        <f t="shared" ca="1" si="153"/>
        <v>-5.3934252469840329</v>
      </c>
      <c r="E376" s="307">
        <f t="shared" ca="1" si="154"/>
        <v>-44.030155348798651</v>
      </c>
      <c r="F376" s="304">
        <f t="shared" ca="1" si="155"/>
        <v>44.359256259930092</v>
      </c>
      <c r="G376" s="306">
        <f t="shared" ca="1" si="156"/>
        <v>51.75948783356499</v>
      </c>
      <c r="H376" s="307">
        <f t="shared" ca="1" si="157"/>
        <v>328.30502664559532</v>
      </c>
      <c r="I376" s="304">
        <f t="shared" ca="1" si="158"/>
        <v>332.36009854005943</v>
      </c>
      <c r="J376" s="306">
        <f t="shared" ca="1" si="159"/>
        <v>195.57658213805655</v>
      </c>
      <c r="K376" s="307">
        <f t="shared" ca="1" si="160"/>
        <v>1373.7833903600817</v>
      </c>
      <c r="L376" s="304">
        <f t="shared" ca="1" si="145"/>
        <v>1387.6350395943614</v>
      </c>
      <c r="M376" s="306">
        <f t="shared" ca="1" si="161"/>
        <v>1.4144267028854056</v>
      </c>
      <c r="N376" s="304">
        <f t="shared" ca="1" si="162"/>
        <v>81.040680505938198</v>
      </c>
      <c r="P376" s="310">
        <f t="shared" ca="1" si="163"/>
        <v>23</v>
      </c>
      <c r="Q376" s="304">
        <f t="shared" ca="1" si="164"/>
        <v>0</v>
      </c>
      <c r="R376" s="306">
        <f t="shared" ca="1" si="165"/>
        <v>0</v>
      </c>
      <c r="S376" s="307">
        <f t="shared" ca="1" si="166"/>
        <v>5.6519999999999806</v>
      </c>
      <c r="T376" s="304">
        <f t="shared" ca="1" si="146"/>
        <v>55.446119999999816</v>
      </c>
      <c r="U376" s="311">
        <f t="shared" ca="1" si="147"/>
        <v>0</v>
      </c>
      <c r="V376" s="306">
        <f t="shared" ca="1" si="148"/>
        <v>1.0675281455832377</v>
      </c>
      <c r="W376" s="304">
        <f t="shared" ca="1" si="149"/>
        <v>195.21408800007964</v>
      </c>
      <c r="Y376" s="314" t="str">
        <f t="shared" ca="1" si="167"/>
        <v/>
      </c>
      <c r="Z376" s="315" t="str">
        <f t="shared" ca="1" si="168"/>
        <v/>
      </c>
      <c r="AA376" s="316" t="str">
        <f t="shared" ca="1" si="169"/>
        <v/>
      </c>
      <c r="AC376" s="310" t="e">
        <f t="shared" ca="1" si="170"/>
        <v>#N/A</v>
      </c>
      <c r="AD376" s="323" t="e">
        <f t="shared" ca="1" si="171"/>
        <v>#N/A</v>
      </c>
      <c r="AE376" s="324">
        <f t="shared" ca="1" si="150"/>
        <v>1373.7833903600817</v>
      </c>
      <c r="AG376" s="306">
        <f t="shared" ca="1" si="172"/>
        <v>-44.332955911648412</v>
      </c>
      <c r="AH376" s="304">
        <f t="shared" ca="1" si="173"/>
        <v>-34.642575943349215</v>
      </c>
    </row>
    <row r="377" spans="1:34" x14ac:dyDescent="0.2">
      <c r="A377" s="347">
        <f t="shared" ca="1" si="151"/>
        <v>0.01</v>
      </c>
      <c r="B377" s="304">
        <f t="shared" ca="1" si="152"/>
        <v>7.7299999999999205</v>
      </c>
      <c r="D377" s="306">
        <f t="shared" ca="1" si="153"/>
        <v>-5.3788581857719295</v>
      </c>
      <c r="E377" s="307">
        <f t="shared" ca="1" si="154"/>
        <v>-43.927535816449442</v>
      </c>
      <c r="F377" s="304">
        <f t="shared" ca="1" si="155"/>
        <v>44.255626967517863</v>
      </c>
      <c r="G377" s="306">
        <f t="shared" ca="1" si="156"/>
        <v>51.705699251707273</v>
      </c>
      <c r="H377" s="307">
        <f t="shared" ca="1" si="157"/>
        <v>327.86575128743084</v>
      </c>
      <c r="I377" s="304">
        <f t="shared" ca="1" si="158"/>
        <v>331.91780639546812</v>
      </c>
      <c r="J377" s="306">
        <f t="shared" ca="1" si="159"/>
        <v>196.09390807348291</v>
      </c>
      <c r="K377" s="307">
        <f t="shared" ca="1" si="160"/>
        <v>1377.0642442497469</v>
      </c>
      <c r="L377" s="304">
        <f t="shared" ca="1" si="145"/>
        <v>1390.9560573845092</v>
      </c>
      <c r="M377" s="306">
        <f t="shared" ca="1" si="161"/>
        <v>1.4143806751564354</v>
      </c>
      <c r="N377" s="304">
        <f t="shared" ca="1" si="162"/>
        <v>81.038043311327641</v>
      </c>
      <c r="P377" s="310">
        <f t="shared" ca="1" si="163"/>
        <v>23</v>
      </c>
      <c r="Q377" s="304">
        <f t="shared" ca="1" si="164"/>
        <v>0</v>
      </c>
      <c r="R377" s="306">
        <f t="shared" ca="1" si="165"/>
        <v>0</v>
      </c>
      <c r="S377" s="307">
        <f t="shared" ca="1" si="166"/>
        <v>5.6519999999999806</v>
      </c>
      <c r="T377" s="304">
        <f t="shared" ca="1" si="146"/>
        <v>55.446119999999816</v>
      </c>
      <c r="U377" s="311">
        <f t="shared" ca="1" si="147"/>
        <v>0</v>
      </c>
      <c r="V377" s="306">
        <f t="shared" ca="1" si="148"/>
        <v>1.0671762988657618</v>
      </c>
      <c r="W377" s="304">
        <f t="shared" ca="1" si="149"/>
        <v>194.63069728006238</v>
      </c>
      <c r="Y377" s="314" t="str">
        <f t="shared" ca="1" si="167"/>
        <v/>
      </c>
      <c r="Z377" s="315" t="str">
        <f t="shared" ca="1" si="168"/>
        <v/>
      </c>
      <c r="AA377" s="316" t="str">
        <f t="shared" ca="1" si="169"/>
        <v/>
      </c>
      <c r="AC377" s="310" t="e">
        <f t="shared" ca="1" si="170"/>
        <v>#N/A</v>
      </c>
      <c r="AD377" s="323" t="e">
        <f t="shared" ca="1" si="171"/>
        <v>#N/A</v>
      </c>
      <c r="AE377" s="324">
        <f t="shared" ca="1" si="150"/>
        <v>1377.0642442497469</v>
      </c>
      <c r="AG377" s="306">
        <f t="shared" ca="1" si="172"/>
        <v>-44.229249618386163</v>
      </c>
      <c r="AH377" s="304">
        <f t="shared" ca="1" si="173"/>
        <v>-34.538939844317113</v>
      </c>
    </row>
    <row r="378" spans="1:34" x14ac:dyDescent="0.2">
      <c r="A378" s="347">
        <f t="shared" ca="1" si="151"/>
        <v>0.01</v>
      </c>
      <c r="B378" s="304">
        <f t="shared" ca="1" si="152"/>
        <v>7.7399999999999203</v>
      </c>
      <c r="D378" s="306">
        <f t="shared" ca="1" si="153"/>
        <v>-5.3643493035053904</v>
      </c>
      <c r="E378" s="307">
        <f t="shared" ca="1" si="154"/>
        <v>-43.825329838207885</v>
      </c>
      <c r="F378" s="304">
        <f t="shared" ca="1" si="155"/>
        <v>44.152415323261003</v>
      </c>
      <c r="G378" s="306">
        <f t="shared" ca="1" si="156"/>
        <v>51.652055758672219</v>
      </c>
      <c r="H378" s="307">
        <f t="shared" ca="1" si="157"/>
        <v>327.42749798904879</v>
      </c>
      <c r="I378" s="304">
        <f t="shared" ca="1" si="158"/>
        <v>331.47654713941006</v>
      </c>
      <c r="J378" s="306">
        <f t="shared" ca="1" si="159"/>
        <v>196.61069684853481</v>
      </c>
      <c r="K378" s="307">
        <f t="shared" ca="1" si="160"/>
        <v>1380.3407104961293</v>
      </c>
      <c r="L378" s="304">
        <f t="shared" ca="1" si="145"/>
        <v>1394.2726573981954</v>
      </c>
      <c r="M378" s="306">
        <f t="shared" ca="1" si="161"/>
        <v>1.4143345727000824</v>
      </c>
      <c r="N378" s="304">
        <f t="shared" ca="1" si="162"/>
        <v>81.035401835153422</v>
      </c>
      <c r="P378" s="310">
        <f t="shared" ca="1" si="163"/>
        <v>23</v>
      </c>
      <c r="Q378" s="304">
        <f t="shared" ca="1" si="164"/>
        <v>0</v>
      </c>
      <c r="R378" s="306">
        <f t="shared" ca="1" si="165"/>
        <v>0</v>
      </c>
      <c r="S378" s="307">
        <f t="shared" ca="1" si="166"/>
        <v>5.6519999999999806</v>
      </c>
      <c r="T378" s="304">
        <f t="shared" ca="1" si="146"/>
        <v>55.446119999999816</v>
      </c>
      <c r="U378" s="311">
        <f t="shared" ca="1" si="147"/>
        <v>0</v>
      </c>
      <c r="V378" s="306">
        <f t="shared" ca="1" si="148"/>
        <v>1.0668250304563531</v>
      </c>
      <c r="W378" s="304">
        <f t="shared" ca="1" si="149"/>
        <v>194.04965429938537</v>
      </c>
      <c r="Y378" s="314" t="str">
        <f t="shared" ca="1" si="167"/>
        <v/>
      </c>
      <c r="Z378" s="315" t="str">
        <f t="shared" ca="1" si="168"/>
        <v/>
      </c>
      <c r="AA378" s="316" t="str">
        <f t="shared" ca="1" si="169"/>
        <v/>
      </c>
      <c r="AC378" s="310" t="e">
        <f t="shared" ca="1" si="170"/>
        <v>#N/A</v>
      </c>
      <c r="AD378" s="323" t="e">
        <f t="shared" ca="1" si="171"/>
        <v>#N/A</v>
      </c>
      <c r="AE378" s="324">
        <f t="shared" ca="1" si="150"/>
        <v>1380.3407104961293</v>
      </c>
      <c r="AG378" s="306">
        <f t="shared" ca="1" si="172"/>
        <v>-44.125960832427388</v>
      </c>
      <c r="AH378" s="304">
        <f t="shared" ca="1" si="173"/>
        <v>-34.435721387130755</v>
      </c>
    </row>
    <row r="379" spans="1:34" x14ac:dyDescent="0.2">
      <c r="A379" s="347">
        <f t="shared" ca="1" si="151"/>
        <v>0.01</v>
      </c>
      <c r="B379" s="304">
        <f t="shared" ca="1" si="152"/>
        <v>7.7499999999999201</v>
      </c>
      <c r="D379" s="306">
        <f t="shared" ca="1" si="153"/>
        <v>-5.3498982848496555</v>
      </c>
      <c r="E379" s="307">
        <f t="shared" ca="1" si="154"/>
        <v>-43.723535176382988</v>
      </c>
      <c r="F379" s="304">
        <f t="shared" ca="1" si="155"/>
        <v>44.049619067349923</v>
      </c>
      <c r="G379" s="306">
        <f t="shared" ca="1" si="156"/>
        <v>51.598556775823724</v>
      </c>
      <c r="H379" s="307">
        <f t="shared" ca="1" si="157"/>
        <v>326.99026263728496</v>
      </c>
      <c r="I379" s="304">
        <f t="shared" ca="1" si="158"/>
        <v>331.03631661941336</v>
      </c>
      <c r="J379" s="306">
        <f t="shared" ca="1" si="159"/>
        <v>197.1269499112073</v>
      </c>
      <c r="K379" s="307">
        <f t="shared" ca="1" si="160"/>
        <v>1383.612799299261</v>
      </c>
      <c r="L379" s="304">
        <f t="shared" ca="1" si="145"/>
        <v>1397.5848499343547</v>
      </c>
      <c r="M379" s="306">
        <f t="shared" ca="1" si="161"/>
        <v>1.4142883954388539</v>
      </c>
      <c r="N379" s="304">
        <f t="shared" ca="1" si="162"/>
        <v>81.032756072975559</v>
      </c>
      <c r="P379" s="310">
        <f t="shared" ca="1" si="163"/>
        <v>23</v>
      </c>
      <c r="Q379" s="304">
        <f t="shared" ca="1" si="164"/>
        <v>0</v>
      </c>
      <c r="R379" s="306">
        <f t="shared" ca="1" si="165"/>
        <v>0</v>
      </c>
      <c r="S379" s="307">
        <f t="shared" ca="1" si="166"/>
        <v>5.6519999999999806</v>
      </c>
      <c r="T379" s="304">
        <f t="shared" ca="1" si="146"/>
        <v>55.446119999999816</v>
      </c>
      <c r="U379" s="311">
        <f t="shared" ca="1" si="147"/>
        <v>0</v>
      </c>
      <c r="V379" s="306">
        <f t="shared" ca="1" si="148"/>
        <v>1.0664743387799149</v>
      </c>
      <c r="W379" s="304">
        <f t="shared" ca="1" si="149"/>
        <v>193.47094637277706</v>
      </c>
      <c r="Y379" s="314" t="str">
        <f t="shared" ca="1" si="167"/>
        <v/>
      </c>
      <c r="Z379" s="315" t="str">
        <f t="shared" ca="1" si="168"/>
        <v/>
      </c>
      <c r="AA379" s="316" t="str">
        <f t="shared" ca="1" si="169"/>
        <v/>
      </c>
      <c r="AC379" s="310" t="e">
        <f t="shared" ca="1" si="170"/>
        <v>#N/A</v>
      </c>
      <c r="AD379" s="323" t="e">
        <f t="shared" ca="1" si="171"/>
        <v>#N/A</v>
      </c>
      <c r="AE379" s="324">
        <f t="shared" ca="1" si="150"/>
        <v>1383.612799299261</v>
      </c>
      <c r="AG379" s="306">
        <f t="shared" ca="1" si="172"/>
        <v>-44.023087293757357</v>
      </c>
      <c r="AH379" s="304">
        <f t="shared" ca="1" si="173"/>
        <v>-34.332918311993282</v>
      </c>
    </row>
    <row r="380" spans="1:34" x14ac:dyDescent="0.2">
      <c r="A380" s="347">
        <f t="shared" ca="1" si="151"/>
        <v>0.01</v>
      </c>
      <c r="B380" s="304">
        <f t="shared" ca="1" si="152"/>
        <v>7.7599999999999199</v>
      </c>
      <c r="D380" s="306">
        <f t="shared" ca="1" si="153"/>
        <v>-5.335504816620019</v>
      </c>
      <c r="E380" s="307">
        <f t="shared" ca="1" si="154"/>
        <v>-43.622149608543538</v>
      </c>
      <c r="F380" s="304">
        <f t="shared" ca="1" si="155"/>
        <v>43.94723595538553</v>
      </c>
      <c r="G380" s="306">
        <f t="shared" ca="1" si="156"/>
        <v>51.545201727657521</v>
      </c>
      <c r="H380" s="307">
        <f t="shared" ca="1" si="157"/>
        <v>326.55404114119955</v>
      </c>
      <c r="I380" s="304">
        <f t="shared" ca="1" si="158"/>
        <v>330.59711070545239</v>
      </c>
      <c r="J380" s="306">
        <f t="shared" ca="1" si="159"/>
        <v>197.64266870372472</v>
      </c>
      <c r="K380" s="307">
        <f t="shared" ca="1" si="160"/>
        <v>1386.8805208181534</v>
      </c>
      <c r="L380" s="304">
        <f t="shared" ca="1" si="145"/>
        <v>1400.8926452505784</v>
      </c>
      <c r="M380" s="306">
        <f t="shared" ca="1" si="161"/>
        <v>1.4142421432950452</v>
      </c>
      <c r="N380" s="304">
        <f t="shared" ca="1" si="162"/>
        <v>81.03010602034189</v>
      </c>
      <c r="P380" s="310">
        <f t="shared" ca="1" si="163"/>
        <v>23</v>
      </c>
      <c r="Q380" s="304">
        <f t="shared" ca="1" si="164"/>
        <v>0</v>
      </c>
      <c r="R380" s="306">
        <f t="shared" ca="1" si="165"/>
        <v>0</v>
      </c>
      <c r="S380" s="307">
        <f t="shared" ca="1" si="166"/>
        <v>5.6519999999999806</v>
      </c>
      <c r="T380" s="304">
        <f t="shared" ca="1" si="146"/>
        <v>55.446119999999816</v>
      </c>
      <c r="U380" s="311">
        <f t="shared" ca="1" si="147"/>
        <v>0</v>
      </c>
      <c r="V380" s="306">
        <f t="shared" ca="1" si="148"/>
        <v>1.0661242222680873</v>
      </c>
      <c r="W380" s="304">
        <f t="shared" ca="1" si="149"/>
        <v>192.8945609013513</v>
      </c>
      <c r="Y380" s="314" t="str">
        <f t="shared" ca="1" si="167"/>
        <v/>
      </c>
      <c r="Z380" s="315" t="str">
        <f t="shared" ca="1" si="168"/>
        <v/>
      </c>
      <c r="AA380" s="316" t="str">
        <f t="shared" ca="1" si="169"/>
        <v/>
      </c>
      <c r="AC380" s="310" t="e">
        <f t="shared" ca="1" si="170"/>
        <v>#N/A</v>
      </c>
      <c r="AD380" s="323" t="e">
        <f t="shared" ca="1" si="171"/>
        <v>#N/A</v>
      </c>
      <c r="AE380" s="324">
        <f t="shared" ca="1" si="150"/>
        <v>1386.8805208181534</v>
      </c>
      <c r="AG380" s="306">
        <f t="shared" ca="1" si="172"/>
        <v>-43.920626757771231</v>
      </c>
      <c r="AH380" s="304">
        <f t="shared" ca="1" si="173"/>
        <v>-34.23052837451835</v>
      </c>
    </row>
    <row r="381" spans="1:34" x14ac:dyDescent="0.2">
      <c r="A381" s="347">
        <f t="shared" ca="1" si="151"/>
        <v>0.01</v>
      </c>
      <c r="B381" s="304">
        <f t="shared" ca="1" si="152"/>
        <v>7.7699999999999196</v>
      </c>
      <c r="D381" s="306">
        <f t="shared" ca="1" si="153"/>
        <v>-5.3211685877641974</v>
      </c>
      <c r="E381" s="307">
        <f t="shared" ca="1" si="154"/>
        <v>-43.521170927392845</v>
      </c>
      <c r="F381" s="304">
        <f t="shared" ca="1" si="155"/>
        <v>43.845263758252756</v>
      </c>
      <c r="G381" s="306">
        <f t="shared" ca="1" si="156"/>
        <v>51.491990041779879</v>
      </c>
      <c r="H381" s="307">
        <f t="shared" ca="1" si="157"/>
        <v>326.11882943192563</v>
      </c>
      <c r="I381" s="304">
        <f t="shared" ca="1" si="158"/>
        <v>330.15892528979458</v>
      </c>
      <c r="J381" s="306">
        <f t="shared" ca="1" si="159"/>
        <v>198.15785466257191</v>
      </c>
      <c r="K381" s="307">
        <f t="shared" ca="1" si="160"/>
        <v>1390.1438851710191</v>
      </c>
      <c r="L381" s="304">
        <f t="shared" ca="1" si="145"/>
        <v>1404.1960535633364</v>
      </c>
      <c r="M381" s="306">
        <f t="shared" ca="1" si="161"/>
        <v>1.4141958161907406</v>
      </c>
      <c r="N381" s="304">
        <f t="shared" ca="1" si="162"/>
        <v>81.027451672788175</v>
      </c>
      <c r="P381" s="310">
        <f t="shared" ca="1" si="163"/>
        <v>23</v>
      </c>
      <c r="Q381" s="304">
        <f t="shared" ca="1" si="164"/>
        <v>0</v>
      </c>
      <c r="R381" s="306">
        <f t="shared" ca="1" si="165"/>
        <v>0</v>
      </c>
      <c r="S381" s="307">
        <f t="shared" ca="1" si="166"/>
        <v>5.6519999999999806</v>
      </c>
      <c r="T381" s="304">
        <f t="shared" ca="1" si="146"/>
        <v>55.446119999999816</v>
      </c>
      <c r="U381" s="311">
        <f t="shared" ca="1" si="147"/>
        <v>0</v>
      </c>
      <c r="V381" s="306">
        <f t="shared" ca="1" si="148"/>
        <v>1.0657746793592098</v>
      </c>
      <c r="W381" s="304">
        <f t="shared" ca="1" si="149"/>
        <v>192.32048537189783</v>
      </c>
      <c r="Y381" s="314" t="str">
        <f t="shared" ca="1" si="167"/>
        <v/>
      </c>
      <c r="Z381" s="315" t="str">
        <f t="shared" ca="1" si="168"/>
        <v/>
      </c>
      <c r="AA381" s="316" t="str">
        <f t="shared" ca="1" si="169"/>
        <v/>
      </c>
      <c r="AC381" s="310" t="e">
        <f t="shared" ca="1" si="170"/>
        <v>#N/A</v>
      </c>
      <c r="AD381" s="323" t="e">
        <f t="shared" ca="1" si="171"/>
        <v>#N/A</v>
      </c>
      <c r="AE381" s="324">
        <f t="shared" ca="1" si="150"/>
        <v>1390.1438851710191</v>
      </c>
      <c r="AG381" s="306">
        <f t="shared" ca="1" si="172"/>
        <v>-43.818576995147595</v>
      </c>
      <c r="AH381" s="304">
        <f t="shared" ca="1" si="173"/>
        <v>-34.128549345603673</v>
      </c>
    </row>
    <row r="382" spans="1:34" x14ac:dyDescent="0.2">
      <c r="A382" s="347">
        <f t="shared" ca="1" si="151"/>
        <v>0.01</v>
      </c>
      <c r="B382" s="304">
        <f t="shared" ca="1" si="152"/>
        <v>7.7799999999999194</v>
      </c>
      <c r="D382" s="306">
        <f t="shared" ca="1" si="153"/>
        <v>-5.3068892893447828</v>
      </c>
      <c r="E382" s="307">
        <f t="shared" ca="1" si="154"/>
        <v>-43.420596940644486</v>
      </c>
      <c r="F382" s="304">
        <f t="shared" ca="1" si="155"/>
        <v>43.743700261995073</v>
      </c>
      <c r="G382" s="306">
        <f t="shared" ca="1" si="156"/>
        <v>51.438921148886429</v>
      </c>
      <c r="H382" s="307">
        <f t="shared" ca="1" si="157"/>
        <v>325.6846234625192</v>
      </c>
      <c r="I382" s="304">
        <f t="shared" ca="1" si="158"/>
        <v>329.72175628684903</v>
      </c>
      <c r="J382" s="306">
        <f t="shared" ca="1" si="159"/>
        <v>198.67250921852525</v>
      </c>
      <c r="K382" s="307">
        <f t="shared" ca="1" si="160"/>
        <v>1393.4029024354913</v>
      </c>
      <c r="L382" s="304">
        <f t="shared" ca="1" si="145"/>
        <v>1407.4950850481989</v>
      </c>
      <c r="M382" s="306">
        <f t="shared" ca="1" si="161"/>
        <v>1.4141494140478126</v>
      </c>
      <c r="N382" s="304">
        <f t="shared" ca="1" si="162"/>
        <v>81.024793025838036</v>
      </c>
      <c r="P382" s="310">
        <f t="shared" ca="1" si="163"/>
        <v>23</v>
      </c>
      <c r="Q382" s="304">
        <f t="shared" ca="1" si="164"/>
        <v>0</v>
      </c>
      <c r="R382" s="306">
        <f t="shared" ca="1" si="165"/>
        <v>0</v>
      </c>
      <c r="S382" s="307">
        <f t="shared" ca="1" si="166"/>
        <v>5.6519999999999806</v>
      </c>
      <c r="T382" s="304">
        <f t="shared" ca="1" si="146"/>
        <v>55.446119999999816</v>
      </c>
      <c r="U382" s="311">
        <f t="shared" ca="1" si="147"/>
        <v>0</v>
      </c>
      <c r="V382" s="306">
        <f t="shared" ca="1" si="148"/>
        <v>1.0654257084982817</v>
      </c>
      <c r="W382" s="304">
        <f t="shared" ca="1" si="149"/>
        <v>191.7487073561806</v>
      </c>
      <c r="Y382" s="314" t="str">
        <f t="shared" ca="1" si="167"/>
        <v/>
      </c>
      <c r="Z382" s="315" t="str">
        <f t="shared" ca="1" si="168"/>
        <v/>
      </c>
      <c r="AA382" s="316" t="str">
        <f t="shared" ca="1" si="169"/>
        <v/>
      </c>
      <c r="AC382" s="310" t="e">
        <f t="shared" ca="1" si="170"/>
        <v>#N/A</v>
      </c>
      <c r="AD382" s="323" t="e">
        <f t="shared" ca="1" si="171"/>
        <v>#N/A</v>
      </c>
      <c r="AE382" s="324">
        <f t="shared" ca="1" si="150"/>
        <v>1393.4029024354913</v>
      </c>
      <c r="AG382" s="306">
        <f t="shared" ca="1" si="172"/>
        <v>-43.716935791722932</v>
      </c>
      <c r="AH382" s="304">
        <f t="shared" ca="1" si="173"/>
        <v>-34.026979011305464</v>
      </c>
    </row>
    <row r="383" spans="1:34" x14ac:dyDescent="0.2">
      <c r="A383" s="347">
        <f t="shared" ca="1" si="151"/>
        <v>0.01</v>
      </c>
      <c r="B383" s="304">
        <f t="shared" ca="1" si="152"/>
        <v>7.7899999999999192</v>
      </c>
      <c r="D383" s="306">
        <f t="shared" ca="1" si="153"/>
        <v>-5.2926666145219388</v>
      </c>
      <c r="E383" s="307">
        <f t="shared" ca="1" si="154"/>
        <v>-43.320425470899316</v>
      </c>
      <c r="F383" s="304">
        <f t="shared" ca="1" si="155"/>
        <v>43.642543267690272</v>
      </c>
      <c r="G383" s="306">
        <f t="shared" ca="1" si="156"/>
        <v>51.385994482741211</v>
      </c>
      <c r="H383" s="307">
        <f t="shared" ca="1" si="157"/>
        <v>325.25141920781022</v>
      </c>
      <c r="I383" s="304">
        <f t="shared" ca="1" si="158"/>
        <v>329.28559963301615</v>
      </c>
      <c r="J383" s="306">
        <f t="shared" ca="1" si="159"/>
        <v>199.1866337966834</v>
      </c>
      <c r="K383" s="307">
        <f t="shared" ca="1" si="160"/>
        <v>1396.6575826488429</v>
      </c>
      <c r="L383" s="304">
        <f t="shared" ca="1" si="145"/>
        <v>1410.7897498400546</v>
      </c>
      <c r="M383" s="306">
        <f t="shared" ca="1" si="161"/>
        <v>1.4141029367879203</v>
      </c>
      <c r="N383" s="304">
        <f t="shared" ca="1" si="162"/>
        <v>81.022130075002877</v>
      </c>
      <c r="P383" s="310">
        <f t="shared" ca="1" si="163"/>
        <v>23</v>
      </c>
      <c r="Q383" s="304">
        <f t="shared" ca="1" si="164"/>
        <v>0</v>
      </c>
      <c r="R383" s="306">
        <f t="shared" ca="1" si="165"/>
        <v>0</v>
      </c>
      <c r="S383" s="307">
        <f t="shared" ca="1" si="166"/>
        <v>5.6519999999999806</v>
      </c>
      <c r="T383" s="304">
        <f t="shared" ca="1" si="146"/>
        <v>55.446119999999816</v>
      </c>
      <c r="U383" s="311">
        <f t="shared" ca="1" si="147"/>
        <v>0</v>
      </c>
      <c r="V383" s="306">
        <f t="shared" ca="1" si="148"/>
        <v>1.0650773081369256</v>
      </c>
      <c r="W383" s="304">
        <f t="shared" ca="1" si="149"/>
        <v>191.17921451024222</v>
      </c>
      <c r="Y383" s="314" t="str">
        <f t="shared" ca="1" si="167"/>
        <v/>
      </c>
      <c r="Z383" s="315" t="str">
        <f t="shared" ca="1" si="168"/>
        <v/>
      </c>
      <c r="AA383" s="316" t="str">
        <f t="shared" ca="1" si="169"/>
        <v/>
      </c>
      <c r="AC383" s="310" t="e">
        <f t="shared" ca="1" si="170"/>
        <v>#N/A</v>
      </c>
      <c r="AD383" s="323" t="e">
        <f t="shared" ca="1" si="171"/>
        <v>#N/A</v>
      </c>
      <c r="AE383" s="324">
        <f t="shared" ca="1" si="150"/>
        <v>1396.6575826488429</v>
      </c>
      <c r="AG383" s="306">
        <f t="shared" ca="1" si="172"/>
        <v>-43.615700948367461</v>
      </c>
      <c r="AH383" s="304">
        <f t="shared" ca="1" si="173"/>
        <v>-33.925815172714309</v>
      </c>
    </row>
    <row r="384" spans="1:34" x14ac:dyDescent="0.2">
      <c r="A384" s="347">
        <f t="shared" ca="1" si="151"/>
        <v>0.01</v>
      </c>
      <c r="B384" s="304">
        <f t="shared" ca="1" si="152"/>
        <v>7.799999999999919</v>
      </c>
      <c r="D384" s="306">
        <f t="shared" ca="1" si="153"/>
        <v>-5.2785002585362504</v>
      </c>
      <c r="E384" s="307">
        <f t="shared" ca="1" si="154"/>
        <v>-43.220654355523614</v>
      </c>
      <c r="F384" s="304">
        <f t="shared" ca="1" si="155"/>
        <v>43.541790591327427</v>
      </c>
      <c r="G384" s="306">
        <f t="shared" ca="1" si="156"/>
        <v>51.333209480155851</v>
      </c>
      <c r="H384" s="307">
        <f t="shared" ca="1" si="157"/>
        <v>324.81921266425496</v>
      </c>
      <c r="I384" s="304">
        <f t="shared" ca="1" si="158"/>
        <v>328.85045128653854</v>
      </c>
      <c r="J384" s="306">
        <f t="shared" ca="1" si="159"/>
        <v>199.70022981649788</v>
      </c>
      <c r="K384" s="307">
        <f t="shared" ca="1" si="160"/>
        <v>1399.9079358082033</v>
      </c>
      <c r="L384" s="304">
        <f t="shared" ca="1" si="145"/>
        <v>1414.0800580333303</v>
      </c>
      <c r="M384" s="306">
        <f t="shared" ca="1" si="161"/>
        <v>1.4140563843325109</v>
      </c>
      <c r="N384" s="304">
        <f t="shared" ca="1" si="162"/>
        <v>81.019462815781935</v>
      </c>
      <c r="P384" s="310">
        <f t="shared" ca="1" si="163"/>
        <v>23</v>
      </c>
      <c r="Q384" s="304">
        <f t="shared" ca="1" si="164"/>
        <v>0</v>
      </c>
      <c r="R384" s="306">
        <f t="shared" ca="1" si="165"/>
        <v>0</v>
      </c>
      <c r="S384" s="307">
        <f t="shared" ca="1" si="166"/>
        <v>5.6519999999999806</v>
      </c>
      <c r="T384" s="304">
        <f t="shared" ca="1" si="146"/>
        <v>55.446119999999816</v>
      </c>
      <c r="U384" s="311">
        <f t="shared" ca="1" si="147"/>
        <v>0</v>
      </c>
      <c r="V384" s="306">
        <f t="shared" ca="1" si="148"/>
        <v>1.0647294767333511</v>
      </c>
      <c r="W384" s="304">
        <f t="shared" ca="1" si="149"/>
        <v>190.61199457371575</v>
      </c>
      <c r="Y384" s="314" t="str">
        <f t="shared" ca="1" si="167"/>
        <v/>
      </c>
      <c r="Z384" s="315" t="str">
        <f t="shared" ca="1" si="168"/>
        <v/>
      </c>
      <c r="AA384" s="316" t="str">
        <f t="shared" ca="1" si="169"/>
        <v/>
      </c>
      <c r="AC384" s="310" t="e">
        <f t="shared" ca="1" si="170"/>
        <v>#N/A</v>
      </c>
      <c r="AD384" s="323" t="e">
        <f t="shared" ca="1" si="171"/>
        <v>#N/A</v>
      </c>
      <c r="AE384" s="324">
        <f t="shared" ca="1" si="150"/>
        <v>1399.9079358082033</v>
      </c>
      <c r="AG384" s="306">
        <f t="shared" ca="1" si="172"/>
        <v>-43.514870280862041</v>
      </c>
      <c r="AH384" s="304">
        <f t="shared" ca="1" si="173"/>
        <v>-33.825055645832073</v>
      </c>
    </row>
    <row r="385" spans="1:34" x14ac:dyDescent="0.2">
      <c r="A385" s="347">
        <f t="shared" ca="1" si="151"/>
        <v>0.01</v>
      </c>
      <c r="B385" s="304">
        <f t="shared" ca="1" si="152"/>
        <v>7.8099999999999188</v>
      </c>
      <c r="D385" s="306">
        <f t="shared" ca="1" si="153"/>
        <v>-5.2643899186917045</v>
      </c>
      <c r="E385" s="307">
        <f t="shared" ca="1" si="154"/>
        <v>-43.121281446528563</v>
      </c>
      <c r="F385" s="304">
        <f t="shared" ca="1" si="155"/>
        <v>43.441440063685171</v>
      </c>
      <c r="G385" s="306">
        <f t="shared" ca="1" si="156"/>
        <v>51.280565580968933</v>
      </c>
      <c r="H385" s="307">
        <f t="shared" ca="1" si="157"/>
        <v>324.38799984978965</v>
      </c>
      <c r="I385" s="304">
        <f t="shared" ca="1" si="158"/>
        <v>328.41630722735312</v>
      </c>
      <c r="J385" s="306">
        <f t="shared" ca="1" si="159"/>
        <v>200.21329869180352</v>
      </c>
      <c r="K385" s="307">
        <f t="shared" ca="1" si="160"/>
        <v>1403.1539718707736</v>
      </c>
      <c r="L385" s="304">
        <f t="shared" ca="1" si="145"/>
        <v>1417.3660196822066</v>
      </c>
      <c r="M385" s="306">
        <f t="shared" ca="1" si="161"/>
        <v>1.4140097566028189</v>
      </c>
      <c r="N385" s="304">
        <f t="shared" ca="1" si="162"/>
        <v>81.016791243662311</v>
      </c>
      <c r="P385" s="310">
        <f t="shared" ca="1" si="163"/>
        <v>23</v>
      </c>
      <c r="Q385" s="304">
        <f t="shared" ca="1" si="164"/>
        <v>0</v>
      </c>
      <c r="R385" s="306">
        <f t="shared" ca="1" si="165"/>
        <v>0</v>
      </c>
      <c r="S385" s="307">
        <f t="shared" ca="1" si="166"/>
        <v>5.6519999999999806</v>
      </c>
      <c r="T385" s="304">
        <f t="shared" ca="1" si="146"/>
        <v>55.446119999999816</v>
      </c>
      <c r="U385" s="311">
        <f t="shared" ca="1" si="147"/>
        <v>0</v>
      </c>
      <c r="V385" s="306">
        <f t="shared" ca="1" si="148"/>
        <v>1.0643822127523148</v>
      </c>
      <c r="W385" s="304">
        <f t="shared" ca="1" si="149"/>
        <v>190.04703536914198</v>
      </c>
      <c r="Y385" s="314" t="str">
        <f t="shared" ca="1" si="167"/>
        <v/>
      </c>
      <c r="Z385" s="315" t="str">
        <f t="shared" ca="1" si="168"/>
        <v/>
      </c>
      <c r="AA385" s="316" t="str">
        <f t="shared" ca="1" si="169"/>
        <v/>
      </c>
      <c r="AC385" s="310" t="e">
        <f t="shared" ca="1" si="170"/>
        <v>#N/A</v>
      </c>
      <c r="AD385" s="323" t="e">
        <f t="shared" ca="1" si="171"/>
        <v>#N/A</v>
      </c>
      <c r="AE385" s="324">
        <f t="shared" ca="1" si="150"/>
        <v>1403.1539718707736</v>
      </c>
      <c r="AG385" s="306">
        <f t="shared" ca="1" si="172"/>
        <v>-43.414441619776468</v>
      </c>
      <c r="AH385" s="304">
        <f t="shared" ca="1" si="173"/>
        <v>-33.724698261450179</v>
      </c>
    </row>
    <row r="386" spans="1:34" x14ac:dyDescent="0.2">
      <c r="A386" s="347">
        <f t="shared" ca="1" si="151"/>
        <v>0.01</v>
      </c>
      <c r="B386" s="304">
        <f t="shared" ca="1" si="152"/>
        <v>7.8199999999999186</v>
      </c>
      <c r="D386" s="306">
        <f t="shared" ca="1" si="153"/>
        <v>-5.2503352943388224</v>
      </c>
      <c r="E386" s="307">
        <f t="shared" ca="1" si="154"/>
        <v>-43.022304610450576</v>
      </c>
      <c r="F386" s="304">
        <f t="shared" ca="1" si="155"/>
        <v>43.34148953021085</v>
      </c>
      <c r="G386" s="306">
        <f t="shared" ca="1" si="156"/>
        <v>51.228062228025543</v>
      </c>
      <c r="H386" s="307">
        <f t="shared" ca="1" si="157"/>
        <v>323.95777680368514</v>
      </c>
      <c r="I386" s="304">
        <f t="shared" ca="1" si="158"/>
        <v>327.98316345694445</v>
      </c>
      <c r="J386" s="306">
        <f t="shared" ca="1" si="159"/>
        <v>200.72584183084848</v>
      </c>
      <c r="K386" s="307">
        <f t="shared" ca="1" si="160"/>
        <v>1406.3957007540409</v>
      </c>
      <c r="L386" s="304">
        <f t="shared" ca="1" si="145"/>
        <v>1420.6476448008327</v>
      </c>
      <c r="M386" s="306">
        <f t="shared" ca="1" si="161"/>
        <v>1.4139630535198644</v>
      </c>
      <c r="N386" s="304">
        <f t="shared" ca="1" si="162"/>
        <v>81.014115354118772</v>
      </c>
      <c r="P386" s="310">
        <f t="shared" ca="1" si="163"/>
        <v>23</v>
      </c>
      <c r="Q386" s="304">
        <f t="shared" ca="1" si="164"/>
        <v>0</v>
      </c>
      <c r="R386" s="306">
        <f t="shared" ca="1" si="165"/>
        <v>0</v>
      </c>
      <c r="S386" s="307">
        <f t="shared" ca="1" si="166"/>
        <v>5.6519999999999806</v>
      </c>
      <c r="T386" s="304">
        <f t="shared" ca="1" si="146"/>
        <v>55.446119999999816</v>
      </c>
      <c r="U386" s="311">
        <f t="shared" ca="1" si="147"/>
        <v>0</v>
      </c>
      <c r="V386" s="306">
        <f t="shared" ca="1" si="148"/>
        <v>1.0640355146650855</v>
      </c>
      <c r="W386" s="304">
        <f t="shared" ca="1" si="149"/>
        <v>189.48432480129429</v>
      </c>
      <c r="Y386" s="314" t="str">
        <f t="shared" ca="1" si="167"/>
        <v/>
      </c>
      <c r="Z386" s="315" t="str">
        <f t="shared" ca="1" si="168"/>
        <v/>
      </c>
      <c r="AA386" s="316" t="str">
        <f t="shared" ca="1" si="169"/>
        <v/>
      </c>
      <c r="AC386" s="310" t="e">
        <f t="shared" ca="1" si="170"/>
        <v>#N/A</v>
      </c>
      <c r="AD386" s="323" t="e">
        <f t="shared" ca="1" si="171"/>
        <v>#N/A</v>
      </c>
      <c r="AE386" s="324">
        <f t="shared" ca="1" si="150"/>
        <v>1406.3957007540409</v>
      </c>
      <c r="AG386" s="306">
        <f t="shared" ca="1" si="172"/>
        <v>-43.314412810348657</v>
      </c>
      <c r="AH386" s="304">
        <f t="shared" ca="1" si="173"/>
        <v>-33.624740865028777</v>
      </c>
    </row>
    <row r="387" spans="1:34" x14ac:dyDescent="0.2">
      <c r="A387" s="347">
        <f t="shared" ca="1" si="151"/>
        <v>0.01</v>
      </c>
      <c r="B387" s="304">
        <f t="shared" ca="1" si="152"/>
        <v>7.8299999999999184</v>
      </c>
      <c r="D387" s="306">
        <f t="shared" ca="1" si="153"/>
        <v>-5.2363360868580555</v>
      </c>
      <c r="E387" s="307">
        <f t="shared" ca="1" si="154"/>
        <v>-42.923721728233033</v>
      </c>
      <c r="F387" s="304">
        <f t="shared" ca="1" si="155"/>
        <v>43.241936850901077</v>
      </c>
      <c r="G387" s="306">
        <f t="shared" ca="1" si="156"/>
        <v>51.17569886715696</v>
      </c>
      <c r="H387" s="307">
        <f t="shared" ca="1" si="157"/>
        <v>323.52853958640281</v>
      </c>
      <c r="I387" s="304">
        <f t="shared" ca="1" si="158"/>
        <v>327.5510159981992</v>
      </c>
      <c r="J387" s="306">
        <f t="shared" ca="1" si="159"/>
        <v>201.2378606363244</v>
      </c>
      <c r="K387" s="307">
        <f t="shared" ca="1" si="160"/>
        <v>1409.6331323359914</v>
      </c>
      <c r="L387" s="304">
        <f t="shared" ca="1" si="145"/>
        <v>1423.9249433635409</v>
      </c>
      <c r="M387" s="306">
        <f t="shared" ca="1" si="161"/>
        <v>1.4139162750044545</v>
      </c>
      <c r="N387" s="304">
        <f t="shared" ca="1" si="162"/>
        <v>81.011435142613891</v>
      </c>
      <c r="P387" s="310">
        <f t="shared" ca="1" si="163"/>
        <v>23</v>
      </c>
      <c r="Q387" s="304">
        <f t="shared" ca="1" si="164"/>
        <v>0</v>
      </c>
      <c r="R387" s="306">
        <f t="shared" ca="1" si="165"/>
        <v>0</v>
      </c>
      <c r="S387" s="307">
        <f t="shared" ca="1" si="166"/>
        <v>5.6519999999999806</v>
      </c>
      <c r="T387" s="304">
        <f t="shared" ca="1" si="146"/>
        <v>55.446119999999816</v>
      </c>
      <c r="U387" s="311">
        <f t="shared" ca="1" si="147"/>
        <v>0</v>
      </c>
      <c r="V387" s="306">
        <f t="shared" ca="1" si="148"/>
        <v>1.0636893809494081</v>
      </c>
      <c r="W387" s="304">
        <f t="shared" ca="1" si="149"/>
        <v>188.92385085650957</v>
      </c>
      <c r="Y387" s="314" t="str">
        <f t="shared" ca="1" si="167"/>
        <v/>
      </c>
      <c r="Z387" s="315" t="str">
        <f t="shared" ca="1" si="168"/>
        <v/>
      </c>
      <c r="AA387" s="316" t="str">
        <f t="shared" ca="1" si="169"/>
        <v/>
      </c>
      <c r="AC387" s="310" t="e">
        <f t="shared" ca="1" si="170"/>
        <v>#N/A</v>
      </c>
      <c r="AD387" s="323" t="e">
        <f t="shared" ca="1" si="171"/>
        <v>#N/A</v>
      </c>
      <c r="AE387" s="324">
        <f t="shared" ca="1" si="150"/>
        <v>1409.6331323359914</v>
      </c>
      <c r="AG387" s="306">
        <f t="shared" ca="1" si="172"/>
        <v>-43.214781712365138</v>
      </c>
      <c r="AH387" s="304">
        <f t="shared" ca="1" si="173"/>
        <v>-33.52518131657731</v>
      </c>
    </row>
    <row r="388" spans="1:34" x14ac:dyDescent="0.2">
      <c r="A388" s="347">
        <f t="shared" ca="1" si="151"/>
        <v>0.01</v>
      </c>
      <c r="B388" s="304">
        <f t="shared" ca="1" si="152"/>
        <v>7.8399999999999181</v>
      </c>
      <c r="D388" s="306">
        <f t="shared" ca="1" si="153"/>
        <v>-5.2223919996432047</v>
      </c>
      <c r="E388" s="307">
        <f t="shared" ca="1" si="154"/>
        <v>-42.825530695109087</v>
      </c>
      <c r="F388" s="304">
        <f t="shared" ca="1" si="155"/>
        <v>43.142779900183392</v>
      </c>
      <c r="G388" s="306">
        <f t="shared" ca="1" si="156"/>
        <v>51.123474947160531</v>
      </c>
      <c r="H388" s="307">
        <f t="shared" ca="1" si="157"/>
        <v>323.10028427945173</v>
      </c>
      <c r="I388" s="304">
        <f t="shared" ca="1" si="158"/>
        <v>327.11986089526187</v>
      </c>
      <c r="J388" s="306">
        <f t="shared" ca="1" si="159"/>
        <v>201.74935650539598</v>
      </c>
      <c r="K388" s="307">
        <f t="shared" ca="1" si="160"/>
        <v>1412.8662764553208</v>
      </c>
      <c r="L388" s="304">
        <f t="shared" ref="L388:L451" ca="1" si="174">SQRT(pos_x^2+pos_z^2)</f>
        <v>1427.1979253050588</v>
      </c>
      <c r="M388" s="306">
        <f t="shared" ca="1" si="161"/>
        <v>1.4138694209771816</v>
      </c>
      <c r="N388" s="304">
        <f t="shared" ca="1" si="162"/>
        <v>81.008750604597964</v>
      </c>
      <c r="P388" s="310">
        <f t="shared" ca="1" si="163"/>
        <v>23</v>
      </c>
      <c r="Q388" s="304">
        <f t="shared" ca="1" si="164"/>
        <v>0</v>
      </c>
      <c r="R388" s="306">
        <f t="shared" ca="1" si="165"/>
        <v>0</v>
      </c>
      <c r="S388" s="307">
        <f t="shared" ca="1" si="166"/>
        <v>5.6519999999999806</v>
      </c>
      <c r="T388" s="304">
        <f t="shared" ref="T388:T451" ca="1" si="175">m*g</f>
        <v>55.446119999999816</v>
      </c>
      <c r="U388" s="311">
        <f t="shared" ref="U388:U451" ca="1" si="176">IF(pos_xz&lt;L_rampe,Poids*COS(Beta),0)</f>
        <v>0</v>
      </c>
      <c r="V388" s="306">
        <f t="shared" ref="V388:V451" ca="1" si="177">Rho_moyen*(20000-Alt_rampe-pos_z)/(20000+Alt_rampe+pos_z)</f>
        <v>1.0633438100894659</v>
      </c>
      <c r="W388" s="304">
        <f t="shared" ref="W388:W451" ca="1" si="178">1/2*Rho*Sref*Cx*vit_xz^2</f>
        <v>188.36560160202509</v>
      </c>
      <c r="Y388" s="314" t="str">
        <f t="shared" ca="1" si="167"/>
        <v/>
      </c>
      <c r="Z388" s="315" t="str">
        <f t="shared" ca="1" si="168"/>
        <v/>
      </c>
      <c r="AA388" s="316" t="str">
        <f t="shared" ca="1" si="169"/>
        <v/>
      </c>
      <c r="AC388" s="310" t="e">
        <f t="shared" ca="1" si="170"/>
        <v>#N/A</v>
      </c>
      <c r="AD388" s="323" t="e">
        <f t="shared" ca="1" si="171"/>
        <v>#N/A</v>
      </c>
      <c r="AE388" s="324">
        <f t="shared" ref="AE388:AE451" ca="1" si="179">IF(t&lt;T_para, pos_z, NA())</f>
        <v>1412.8662764553208</v>
      </c>
      <c r="AG388" s="306">
        <f t="shared" ca="1" si="172"/>
        <v>-43.115546200042751</v>
      </c>
      <c r="AH388" s="304">
        <f t="shared" ca="1" si="173"/>
        <v>-33.426017490536132</v>
      </c>
    </row>
    <row r="389" spans="1:34" x14ac:dyDescent="0.2">
      <c r="A389" s="347">
        <f t="shared" ref="A389:A452" ca="1" si="180">IF(B388+0.01&lt;=T_ini+ROUNDUP(Temps_fin_propu,0), 0.01, IF(K388&gt;0, 0.1, 0.0001))</f>
        <v>0.01</v>
      </c>
      <c r="B389" s="304">
        <f t="shared" ref="B389:B452" ca="1" si="181">B388+pas</f>
        <v>7.8499999999999179</v>
      </c>
      <c r="D389" s="306">
        <f t="shared" ref="D389:D452" ca="1" si="182">IF(AND(L388&lt;L_rampe,Poussee&lt;Poids*SIN(M388)),0,(-W388+Poussee)/m*COS(M388)-U388/m*SIN(M388))</f>
        <v>-5.2085027380850937</v>
      </c>
      <c r="E389" s="307">
        <f t="shared" ref="E389:E452" ca="1" si="183">IF(AND(L388&lt;L_rampe,Poussee&lt;Poids*SIN(M388)),0,(-W388+Poussee)/m*SIN(M388)+U388/m*COS(M388)-Poids/m)</f>
        <v>-42.727729420485446</v>
      </c>
      <c r="F389" s="304">
        <f t="shared" ref="F389:F452" ca="1" si="184">SQRT(acc_x^2+acc_z^2)</f>
        <v>43.044016566798888</v>
      </c>
      <c r="G389" s="306">
        <f t="shared" ref="G389:G452" ca="1" si="185">G388+acc_x*pas</f>
        <v>51.071389919779683</v>
      </c>
      <c r="H389" s="307">
        <f t="shared" ref="H389:H452" ca="1" si="186">H388+acc_z*pas</f>
        <v>322.6730069852469</v>
      </c>
      <c r="I389" s="304">
        <f t="shared" ref="I389:I452" ca="1" si="187">SQRT(vit_x^2+vit_z^2)</f>
        <v>326.6896942133917</v>
      </c>
      <c r="J389" s="306">
        <f t="shared" ref="J389:J452" ca="1" si="188">J388+0.5*(vit_x+G388)*pas*(K388&gt;=0)</f>
        <v>202.26033082973069</v>
      </c>
      <c r="K389" s="307">
        <f t="shared" ref="K389:K452" ca="1" si="189">K388+0.5*(vit_z+H388)*pas</f>
        <v>1416.0951429116442</v>
      </c>
      <c r="L389" s="304">
        <f t="shared" ca="1" si="174"/>
        <v>1430.4666005207189</v>
      </c>
      <c r="M389" s="306">
        <f t="shared" ref="M389:M452" ca="1" si="190">IF(AND(L388&gt;L_rampe,G389&gt;0),ATAN2(G389,H389),$M$4)</f>
        <v>1.4138224913584239</v>
      </c>
      <c r="N389" s="304">
        <f t="shared" ref="N389:N452" ca="1" si="191">DEGREES(Beta)</f>
        <v>81.006061735508993</v>
      </c>
      <c r="P389" s="310">
        <f t="shared" ref="P389:P452" ca="1" si="192">MATCH(t-pas/2-T_ini,CdP_t)</f>
        <v>23</v>
      </c>
      <c r="Q389" s="304">
        <f t="shared" ref="Q389:Q452" ca="1" si="193">(INDEX(CdP,2,i_P+1)-INDEX(CdP,2,i_P+0))/(INDEX(CdP,1,i_P+1)-INDEX(CdP,1,i_P+0))*(t-pas/2-T_ini-INDEX(CdP,1,i_P+0))+INDEX(CdP,2,i_P+0)</f>
        <v>0</v>
      </c>
      <c r="R389" s="306">
        <f t="shared" ref="R389:R452" ca="1" si="194">Poussee/(g*ISP)</f>
        <v>0</v>
      </c>
      <c r="S389" s="307">
        <f t="shared" ref="S389:S452" ca="1" si="195">S388-Débit*pas</f>
        <v>5.6519999999999806</v>
      </c>
      <c r="T389" s="304">
        <f t="shared" ca="1" si="175"/>
        <v>55.446119999999816</v>
      </c>
      <c r="U389" s="311">
        <f t="shared" ca="1" si="176"/>
        <v>0</v>
      </c>
      <c r="V389" s="306">
        <f t="shared" ca="1" si="177"/>
        <v>1.0629988005758442</v>
      </c>
      <c r="W389" s="304">
        <f t="shared" ca="1" si="178"/>
        <v>187.80956518532233</v>
      </c>
      <c r="Y389" s="314" t="str">
        <f t="shared" ref="Y389:Y452" ca="1" si="196">IF(AND(pos_z&lt;=0,K388&gt;0),"Impact balistique","") &amp; IF(AND(H390&lt;0,vit_z&gt;=0),"Apogée","") &amp; IF(AND(Poussee=0,Q388&gt;0),"Fin de propulsion","") &amp; IF(AND(L390&gt;L_rampe,pos_xz&lt;=L_rampe),"Sortie de rampe","")</f>
        <v/>
      </c>
      <c r="Z389" s="315" t="str">
        <f t="shared" ref="Z389:Z452" ca="1" si="197">IF(ABS(t-T_para)&lt;pas/2,"Para","")</f>
        <v/>
      </c>
      <c r="AA389" s="316" t="str">
        <f t="shared" ref="AA389:AA452" ca="1" si="198">IF(ABS(t-T_satellite)&lt;pas/2,"Satellite","")</f>
        <v/>
      </c>
      <c r="AC389" s="310" t="e">
        <f t="shared" ref="AC389:AC452" ca="1" si="199">IF(ABS(t-ROUND(t,0))&lt;0.001,t,NA())</f>
        <v>#N/A</v>
      </c>
      <c r="AD389" s="323" t="e">
        <f t="shared" ref="AD389:AD452" ca="1" si="200">IF(ABS(t-ROUND(t,0))&lt;0.001,pos_x,NA())</f>
        <v>#N/A</v>
      </c>
      <c r="AE389" s="324">
        <f t="shared" ca="1" si="179"/>
        <v>1416.0951429116442</v>
      </c>
      <c r="AG389" s="306">
        <f t="shared" ref="AG389:AG452" ca="1" si="201">IF(AND(L388&lt;L_rampe,Poussee&lt;Poids*SIN(M388)),0,(-W388+Poussee)/m-Poids*SIN(M388)/m)</f>
        <v>-43.016704161911278</v>
      </c>
      <c r="AH389" s="304">
        <f t="shared" ref="AH389:AH452" ca="1" si="202">IF(AND(L388&lt;L_rampe,Poussee&lt;Poids*SIN(M388)), g*SIN(M388), (-W388+Poussee)/m)</f>
        <v>-33.32724727565919</v>
      </c>
    </row>
    <row r="390" spans="1:34" x14ac:dyDescent="0.2">
      <c r="A390" s="347">
        <f t="shared" ca="1" si="180"/>
        <v>0.01</v>
      </c>
      <c r="B390" s="304">
        <f t="shared" ca="1" si="181"/>
        <v>7.8599999999999177</v>
      </c>
      <c r="D390" s="306">
        <f t="shared" ca="1" si="182"/>
        <v>-5.1946680095553495</v>
      </c>
      <c r="E390" s="307">
        <f t="shared" ca="1" si="183"/>
        <v>-42.630315827827438</v>
      </c>
      <c r="F390" s="304">
        <f t="shared" ca="1" si="184"/>
        <v>42.945644753686167</v>
      </c>
      <c r="G390" s="306">
        <f t="shared" ca="1" si="185"/>
        <v>51.019443239684129</v>
      </c>
      <c r="H390" s="307">
        <f t="shared" ca="1" si="186"/>
        <v>322.2467038269686</v>
      </c>
      <c r="I390" s="304">
        <f t="shared" ca="1" si="187"/>
        <v>326.26051203882054</v>
      </c>
      <c r="J390" s="306">
        <f t="shared" ca="1" si="188"/>
        <v>202.770784995528</v>
      </c>
      <c r="K390" s="307">
        <f t="shared" ca="1" si="189"/>
        <v>1419.3197414657052</v>
      </c>
      <c r="L390" s="304">
        <f t="shared" ca="1" si="174"/>
        <v>1433.7309788666696</v>
      </c>
      <c r="M390" s="306">
        <f t="shared" ca="1" si="190"/>
        <v>1.4137754860683445</v>
      </c>
      <c r="N390" s="304">
        <f t="shared" ca="1" si="191"/>
        <v>81.003368530772647</v>
      </c>
      <c r="P390" s="310">
        <f t="shared" ca="1" si="192"/>
        <v>23</v>
      </c>
      <c r="Q390" s="304">
        <f t="shared" ca="1" si="193"/>
        <v>0</v>
      </c>
      <c r="R390" s="306">
        <f t="shared" ca="1" si="194"/>
        <v>0</v>
      </c>
      <c r="S390" s="307">
        <f t="shared" ca="1" si="195"/>
        <v>5.6519999999999806</v>
      </c>
      <c r="T390" s="304">
        <f t="shared" ca="1" si="175"/>
        <v>55.446119999999816</v>
      </c>
      <c r="U390" s="311">
        <f t="shared" ca="1" si="176"/>
        <v>0</v>
      </c>
      <c r="V390" s="306">
        <f t="shared" ca="1" si="177"/>
        <v>1.062654350905496</v>
      </c>
      <c r="W390" s="304">
        <f t="shared" ca="1" si="178"/>
        <v>187.25572983347649</v>
      </c>
      <c r="Y390" s="314" t="str">
        <f t="shared" ca="1" si="196"/>
        <v/>
      </c>
      <c r="Z390" s="315" t="str">
        <f t="shared" ca="1" si="197"/>
        <v/>
      </c>
      <c r="AA390" s="316" t="str">
        <f t="shared" ca="1" si="198"/>
        <v/>
      </c>
      <c r="AC390" s="310" t="e">
        <f t="shared" ca="1" si="199"/>
        <v>#N/A</v>
      </c>
      <c r="AD390" s="323" t="e">
        <f t="shared" ca="1" si="200"/>
        <v>#N/A</v>
      </c>
      <c r="AE390" s="324">
        <f t="shared" ca="1" si="179"/>
        <v>1419.3197414657052</v>
      </c>
      <c r="AG390" s="306">
        <f t="shared" ca="1" si="201"/>
        <v>-42.918253500697368</v>
      </c>
      <c r="AH390" s="304">
        <f t="shared" ca="1" si="202"/>
        <v>-33.228868574897909</v>
      </c>
    </row>
    <row r="391" spans="1:34" x14ac:dyDescent="0.2">
      <c r="A391" s="347">
        <f t="shared" ca="1" si="180"/>
        <v>0.01</v>
      </c>
      <c r="B391" s="304">
        <f t="shared" ca="1" si="181"/>
        <v>7.8699999999999175</v>
      </c>
      <c r="D391" s="306">
        <f t="shared" ca="1" si="182"/>
        <v>-5.1808875233903446</v>
      </c>
      <c r="E391" s="307">
        <f t="shared" ca="1" si="183"/>
        <v>-42.53328785454503</v>
      </c>
      <c r="F391" s="304">
        <f t="shared" ca="1" si="184"/>
        <v>42.847662377866186</v>
      </c>
      <c r="G391" s="306">
        <f t="shared" ca="1" si="185"/>
        <v>50.967634364450227</v>
      </c>
      <c r="H391" s="307">
        <f t="shared" ca="1" si="186"/>
        <v>321.82137094842312</v>
      </c>
      <c r="I391" s="304">
        <f t="shared" ca="1" si="187"/>
        <v>325.83231047861238</v>
      </c>
      <c r="J391" s="306">
        <f t="shared" ca="1" si="188"/>
        <v>203.28072038354867</v>
      </c>
      <c r="K391" s="307">
        <f t="shared" ca="1" si="189"/>
        <v>1422.5400818395822</v>
      </c>
      <c r="L391" s="304">
        <f t="shared" ca="1" si="174"/>
        <v>1436.9910701600827</v>
      </c>
      <c r="M391" s="306">
        <f t="shared" ca="1" si="190"/>
        <v>1.4137284050268915</v>
      </c>
      <c r="N391" s="304">
        <f t="shared" ca="1" si="191"/>
        <v>81.000670985802316</v>
      </c>
      <c r="P391" s="310">
        <f t="shared" ca="1" si="192"/>
        <v>23</v>
      </c>
      <c r="Q391" s="304">
        <f t="shared" ca="1" si="193"/>
        <v>0</v>
      </c>
      <c r="R391" s="306">
        <f t="shared" ca="1" si="194"/>
        <v>0</v>
      </c>
      <c r="S391" s="307">
        <f t="shared" ca="1" si="195"/>
        <v>5.6519999999999806</v>
      </c>
      <c r="T391" s="304">
        <f t="shared" ca="1" si="175"/>
        <v>55.446119999999816</v>
      </c>
      <c r="U391" s="311">
        <f t="shared" ca="1" si="176"/>
        <v>0</v>
      </c>
      <c r="V391" s="306">
        <f t="shared" ca="1" si="177"/>
        <v>1.0623104595817054</v>
      </c>
      <c r="W391" s="304">
        <f t="shared" ca="1" si="178"/>
        <v>186.70408385251287</v>
      </c>
      <c r="Y391" s="314" t="str">
        <f t="shared" ca="1" si="196"/>
        <v/>
      </c>
      <c r="Z391" s="315" t="str">
        <f t="shared" ca="1" si="197"/>
        <v/>
      </c>
      <c r="AA391" s="316" t="str">
        <f t="shared" ca="1" si="198"/>
        <v/>
      </c>
      <c r="AC391" s="310" t="e">
        <f t="shared" ca="1" si="199"/>
        <v>#N/A</v>
      </c>
      <c r="AD391" s="323" t="e">
        <f t="shared" ca="1" si="200"/>
        <v>#N/A</v>
      </c>
      <c r="AE391" s="324">
        <f t="shared" ca="1" si="179"/>
        <v>1422.5400818395822</v>
      </c>
      <c r="AG391" s="306">
        <f t="shared" ca="1" si="201"/>
        <v>-42.820192133209396</v>
      </c>
      <c r="AH391" s="304">
        <f t="shared" ca="1" si="202"/>
        <v>-33.130879305286115</v>
      </c>
    </row>
    <row r="392" spans="1:34" x14ac:dyDescent="0.2">
      <c r="A392" s="347">
        <f t="shared" ca="1" si="180"/>
        <v>0.01</v>
      </c>
      <c r="B392" s="304">
        <f t="shared" ca="1" si="181"/>
        <v>7.8799999999999173</v>
      </c>
      <c r="D392" s="306">
        <f t="shared" ca="1" si="182"/>
        <v>-5.1671609908753195</v>
      </c>
      <c r="E392" s="307">
        <f t="shared" ca="1" si="183"/>
        <v>-42.436643451880087</v>
      </c>
      <c r="F392" s="304">
        <f t="shared" ca="1" si="184"/>
        <v>42.750067370328445</v>
      </c>
      <c r="G392" s="306">
        <f t="shared" ca="1" si="185"/>
        <v>50.915962754541475</v>
      </c>
      <c r="H392" s="307">
        <f t="shared" ca="1" si="186"/>
        <v>321.39700451390433</v>
      </c>
      <c r="I392" s="304">
        <f t="shared" ca="1" si="187"/>
        <v>325.4050856605233</v>
      </c>
      <c r="J392" s="306">
        <f t="shared" ca="1" si="188"/>
        <v>203.79013836914362</v>
      </c>
      <c r="K392" s="307">
        <f t="shared" ca="1" si="189"/>
        <v>1425.7561737168937</v>
      </c>
      <c r="L392" s="304">
        <f t="shared" ca="1" si="174"/>
        <v>1440.2468841793591</v>
      </c>
      <c r="M392" s="306">
        <f t="shared" ca="1" si="190"/>
        <v>1.413681248153797</v>
      </c>
      <c r="N392" s="304">
        <f t="shared" ca="1" si="191"/>
        <v>80.997969095998968</v>
      </c>
      <c r="P392" s="310">
        <f t="shared" ca="1" si="192"/>
        <v>23</v>
      </c>
      <c r="Q392" s="304">
        <f t="shared" ca="1" si="193"/>
        <v>0</v>
      </c>
      <c r="R392" s="306">
        <f t="shared" ca="1" si="194"/>
        <v>0</v>
      </c>
      <c r="S392" s="307">
        <f t="shared" ca="1" si="195"/>
        <v>5.6519999999999806</v>
      </c>
      <c r="T392" s="304">
        <f t="shared" ca="1" si="175"/>
        <v>55.446119999999816</v>
      </c>
      <c r="U392" s="311">
        <f t="shared" ca="1" si="176"/>
        <v>0</v>
      </c>
      <c r="V392" s="306">
        <f t="shared" ca="1" si="177"/>
        <v>1.0619671251140532</v>
      </c>
      <c r="W392" s="304">
        <f t="shared" ca="1" si="178"/>
        <v>186.15461562676848</v>
      </c>
      <c r="Y392" s="314" t="str">
        <f t="shared" ca="1" si="196"/>
        <v/>
      </c>
      <c r="Z392" s="315" t="str">
        <f t="shared" ca="1" si="197"/>
        <v/>
      </c>
      <c r="AA392" s="316" t="str">
        <f t="shared" ca="1" si="198"/>
        <v/>
      </c>
      <c r="AC392" s="310" t="e">
        <f t="shared" ca="1" si="199"/>
        <v>#N/A</v>
      </c>
      <c r="AD392" s="323" t="e">
        <f t="shared" ca="1" si="200"/>
        <v>#N/A</v>
      </c>
      <c r="AE392" s="324">
        <f t="shared" ca="1" si="179"/>
        <v>1425.7561737168937</v>
      </c>
      <c r="AG392" s="306">
        <f t="shared" ca="1" si="201"/>
        <v>-42.72251799022365</v>
      </c>
      <c r="AH392" s="304">
        <f t="shared" ca="1" si="202"/>
        <v>-33.033277397826168</v>
      </c>
    </row>
    <row r="393" spans="1:34" x14ac:dyDescent="0.2">
      <c r="A393" s="347">
        <f t="shared" ca="1" si="180"/>
        <v>0.01</v>
      </c>
      <c r="B393" s="304">
        <f t="shared" ca="1" si="181"/>
        <v>7.8899999999999171</v>
      </c>
      <c r="D393" s="306">
        <f t="shared" ca="1" si="182"/>
        <v>-5.1534881252286198</v>
      </c>
      <c r="E393" s="307">
        <f t="shared" ca="1" si="183"/>
        <v>-42.340380584794509</v>
      </c>
      <c r="F393" s="304">
        <f t="shared" ca="1" si="184"/>
        <v>42.652857675917993</v>
      </c>
      <c r="G393" s="306">
        <f t="shared" ca="1" si="185"/>
        <v>50.864427873289188</v>
      </c>
      <c r="H393" s="307">
        <f t="shared" ca="1" si="186"/>
        <v>320.97360070805638</v>
      </c>
      <c r="I393" s="304">
        <f t="shared" ca="1" si="187"/>
        <v>324.97883373286305</v>
      </c>
      <c r="J393" s="306">
        <f t="shared" ca="1" si="188"/>
        <v>204.29904032228276</v>
      </c>
      <c r="K393" s="307">
        <f t="shared" ca="1" si="189"/>
        <v>1428.9680267430035</v>
      </c>
      <c r="L393" s="304">
        <f t="shared" ca="1" si="174"/>
        <v>1443.4984306643353</v>
      </c>
      <c r="M393" s="306">
        <f t="shared" ca="1" si="190"/>
        <v>1.4136340153685774</v>
      </c>
      <c r="N393" s="304">
        <f t="shared" ca="1" si="191"/>
        <v>80.995262856751239</v>
      </c>
      <c r="P393" s="310">
        <f t="shared" ca="1" si="192"/>
        <v>23</v>
      </c>
      <c r="Q393" s="304">
        <f t="shared" ca="1" si="193"/>
        <v>0</v>
      </c>
      <c r="R393" s="306">
        <f t="shared" ca="1" si="194"/>
        <v>0</v>
      </c>
      <c r="S393" s="307">
        <f t="shared" ca="1" si="195"/>
        <v>5.6519999999999806</v>
      </c>
      <c r="T393" s="304">
        <f t="shared" ca="1" si="175"/>
        <v>55.446119999999816</v>
      </c>
      <c r="U393" s="311">
        <f t="shared" ca="1" si="176"/>
        <v>0</v>
      </c>
      <c r="V393" s="306">
        <f t="shared" ca="1" si="177"/>
        <v>1.0616243460183801</v>
      </c>
      <c r="W393" s="304">
        <f t="shared" ca="1" si="178"/>
        <v>185.60731361826012</v>
      </c>
      <c r="Y393" s="314" t="str">
        <f t="shared" ca="1" si="196"/>
        <v/>
      </c>
      <c r="Z393" s="315" t="str">
        <f t="shared" ca="1" si="197"/>
        <v/>
      </c>
      <c r="AA393" s="316" t="str">
        <f t="shared" ca="1" si="198"/>
        <v/>
      </c>
      <c r="AC393" s="310" t="e">
        <f t="shared" ca="1" si="199"/>
        <v>#N/A</v>
      </c>
      <c r="AD393" s="323" t="e">
        <f t="shared" ca="1" si="200"/>
        <v>#N/A</v>
      </c>
      <c r="AE393" s="324">
        <f t="shared" ca="1" si="179"/>
        <v>1428.9680267430035</v>
      </c>
      <c r="AG393" s="306">
        <f t="shared" ca="1" si="201"/>
        <v>-42.625229016371343</v>
      </c>
      <c r="AH393" s="304">
        <f t="shared" ca="1" si="202"/>
        <v>-32.936060797375994</v>
      </c>
    </row>
    <row r="394" spans="1:34" x14ac:dyDescent="0.2">
      <c r="A394" s="347">
        <f t="shared" ca="1" si="180"/>
        <v>0.01</v>
      </c>
      <c r="B394" s="304">
        <f t="shared" ca="1" si="181"/>
        <v>7.8999999999999169</v>
      </c>
      <c r="D394" s="306">
        <f t="shared" ca="1" si="182"/>
        <v>-5.1398686415860952</v>
      </c>
      <c r="E394" s="307">
        <f t="shared" ca="1" si="183"/>
        <v>-42.244497231859526</v>
      </c>
      <c r="F394" s="304">
        <f t="shared" ca="1" si="184"/>
        <v>42.556031253223644</v>
      </c>
      <c r="G394" s="306">
        <f t="shared" ca="1" si="185"/>
        <v>50.813029186873329</v>
      </c>
      <c r="H394" s="307">
        <f t="shared" ca="1" si="186"/>
        <v>320.55115573573778</v>
      </c>
      <c r="I394" s="304">
        <f t="shared" ca="1" si="187"/>
        <v>324.55355086435776</v>
      </c>
      <c r="J394" s="306">
        <f t="shared" ca="1" si="188"/>
        <v>204.80742760758358</v>
      </c>
      <c r="K394" s="307">
        <f t="shared" ca="1" si="189"/>
        <v>1432.1756505252224</v>
      </c>
      <c r="L394" s="304">
        <f t="shared" ca="1" si="174"/>
        <v>1446.7457193164871</v>
      </c>
      <c r="M394" s="306">
        <f t="shared" ca="1" si="190"/>
        <v>1.4135867065905323</v>
      </c>
      <c r="N394" s="304">
        <f t="shared" ca="1" si="191"/>
        <v>80.992552263435329</v>
      </c>
      <c r="P394" s="310">
        <f t="shared" ca="1" si="192"/>
        <v>23</v>
      </c>
      <c r="Q394" s="304">
        <f t="shared" ca="1" si="193"/>
        <v>0</v>
      </c>
      <c r="R394" s="306">
        <f t="shared" ca="1" si="194"/>
        <v>0</v>
      </c>
      <c r="S394" s="307">
        <f t="shared" ca="1" si="195"/>
        <v>5.6519999999999806</v>
      </c>
      <c r="T394" s="304">
        <f t="shared" ca="1" si="175"/>
        <v>55.446119999999816</v>
      </c>
      <c r="U394" s="311">
        <f t="shared" ca="1" si="176"/>
        <v>0</v>
      </c>
      <c r="V394" s="306">
        <f t="shared" ca="1" si="177"/>
        <v>1.061282120816754</v>
      </c>
      <c r="W394" s="304">
        <f t="shared" ca="1" si="178"/>
        <v>185.06216636605879</v>
      </c>
      <c r="Y394" s="314" t="str">
        <f t="shared" ca="1" si="196"/>
        <v/>
      </c>
      <c r="Z394" s="315" t="str">
        <f t="shared" ca="1" si="197"/>
        <v/>
      </c>
      <c r="AA394" s="316" t="str">
        <f t="shared" ca="1" si="198"/>
        <v/>
      </c>
      <c r="AC394" s="310" t="e">
        <f t="shared" ca="1" si="199"/>
        <v>#N/A</v>
      </c>
      <c r="AD394" s="323" t="e">
        <f t="shared" ca="1" si="200"/>
        <v>#N/A</v>
      </c>
      <c r="AE394" s="324">
        <f t="shared" ca="1" si="179"/>
        <v>1432.1756505252224</v>
      </c>
      <c r="AG394" s="306">
        <f t="shared" ca="1" si="201"/>
        <v>-42.528323170026809</v>
      </c>
      <c r="AH394" s="304">
        <f t="shared" ca="1" si="202"/>
        <v>-32.839227462537288</v>
      </c>
    </row>
    <row r="395" spans="1:34" x14ac:dyDescent="0.2">
      <c r="A395" s="347">
        <f t="shared" ca="1" si="180"/>
        <v>0.01</v>
      </c>
      <c r="B395" s="304">
        <f t="shared" ca="1" si="181"/>
        <v>7.9099999999999167</v>
      </c>
      <c r="D395" s="306">
        <f t="shared" ca="1" si="182"/>
        <v>-5.1263022569856567</v>
      </c>
      <c r="E395" s="307">
        <f t="shared" ca="1" si="183"/>
        <v>-42.148991385146104</v>
      </c>
      <c r="F395" s="304">
        <f t="shared" ca="1" si="184"/>
        <v>42.459586074467296</v>
      </c>
      <c r="G395" s="306">
        <f t="shared" ca="1" si="185"/>
        <v>50.761766164303474</v>
      </c>
      <c r="H395" s="307">
        <f t="shared" ca="1" si="186"/>
        <v>320.12966582188631</v>
      </c>
      <c r="I395" s="304">
        <f t="shared" ca="1" si="187"/>
        <v>324.12923324401339</v>
      </c>
      <c r="J395" s="306">
        <f t="shared" ca="1" si="188"/>
        <v>205.31530158433947</v>
      </c>
      <c r="K395" s="307">
        <f t="shared" ca="1" si="189"/>
        <v>1435.3790546330106</v>
      </c>
      <c r="L395" s="304">
        <f t="shared" ca="1" si="174"/>
        <v>1449.9887597991315</v>
      </c>
      <c r="M395" s="306">
        <f t="shared" ca="1" si="190"/>
        <v>1.4135393217387451</v>
      </c>
      <c r="N395" s="304">
        <f t="shared" ca="1" si="191"/>
        <v>80.989837311415073</v>
      </c>
      <c r="P395" s="310">
        <f t="shared" ca="1" si="192"/>
        <v>23</v>
      </c>
      <c r="Q395" s="304">
        <f t="shared" ca="1" si="193"/>
        <v>0</v>
      </c>
      <c r="R395" s="306">
        <f t="shared" ca="1" si="194"/>
        <v>0</v>
      </c>
      <c r="S395" s="307">
        <f t="shared" ca="1" si="195"/>
        <v>5.6519999999999806</v>
      </c>
      <c r="T395" s="304">
        <f t="shared" ca="1" si="175"/>
        <v>55.446119999999816</v>
      </c>
      <c r="U395" s="311">
        <f t="shared" ca="1" si="176"/>
        <v>0</v>
      </c>
      <c r="V395" s="306">
        <f t="shared" ca="1" si="177"/>
        <v>1.0609404480374336</v>
      </c>
      <c r="W395" s="304">
        <f t="shared" ca="1" si="178"/>
        <v>184.51916248566914</v>
      </c>
      <c r="Y395" s="314" t="str">
        <f t="shared" ca="1" si="196"/>
        <v/>
      </c>
      <c r="Z395" s="315" t="str">
        <f t="shared" ca="1" si="197"/>
        <v/>
      </c>
      <c r="AA395" s="316" t="str">
        <f t="shared" ca="1" si="198"/>
        <v/>
      </c>
      <c r="AC395" s="310" t="e">
        <f t="shared" ca="1" si="199"/>
        <v>#N/A</v>
      </c>
      <c r="AD395" s="323" t="e">
        <f t="shared" ca="1" si="200"/>
        <v>#N/A</v>
      </c>
      <c r="AE395" s="324">
        <f t="shared" ca="1" si="179"/>
        <v>1435.3790546330106</v>
      </c>
      <c r="AG395" s="306">
        <f t="shared" ca="1" si="201"/>
        <v>-42.431798423196824</v>
      </c>
      <c r="AH395" s="304">
        <f t="shared" ca="1" si="202"/>
        <v>-32.742775365544837</v>
      </c>
    </row>
    <row r="396" spans="1:34" x14ac:dyDescent="0.2">
      <c r="A396" s="347">
        <f t="shared" ca="1" si="180"/>
        <v>0.01</v>
      </c>
      <c r="B396" s="304">
        <f t="shared" ca="1" si="181"/>
        <v>7.9199999999999164</v>
      </c>
      <c r="D396" s="306">
        <f t="shared" ca="1" si="182"/>
        <v>-5.1127886903519544</v>
      </c>
      <c r="E396" s="307">
        <f t="shared" ca="1" si="183"/>
        <v>-42.053861050116211</v>
      </c>
      <c r="F396" s="304">
        <f t="shared" ca="1" si="184"/>
        <v>42.363520125394118</v>
      </c>
      <c r="G396" s="306">
        <f t="shared" ca="1" si="185"/>
        <v>50.710638277399951</v>
      </c>
      <c r="H396" s="307">
        <f t="shared" ca="1" si="186"/>
        <v>319.70912721138512</v>
      </c>
      <c r="I396" s="304">
        <f t="shared" ca="1" si="187"/>
        <v>323.7058770809806</v>
      </c>
      <c r="J396" s="306">
        <f t="shared" ca="1" si="188"/>
        <v>205.82266360654799</v>
      </c>
      <c r="K396" s="307">
        <f t="shared" ca="1" si="189"/>
        <v>1438.578248598177</v>
      </c>
      <c r="L396" s="304">
        <f t="shared" ca="1" si="174"/>
        <v>1453.2275617376283</v>
      </c>
      <c r="M396" s="306">
        <f t="shared" ca="1" si="190"/>
        <v>1.4134918607320814</v>
      </c>
      <c r="N396" s="304">
        <f t="shared" ca="1" si="191"/>
        <v>80.987117996041803</v>
      </c>
      <c r="P396" s="310">
        <f t="shared" ca="1" si="192"/>
        <v>23</v>
      </c>
      <c r="Q396" s="304">
        <f t="shared" ca="1" si="193"/>
        <v>0</v>
      </c>
      <c r="R396" s="306">
        <f t="shared" ca="1" si="194"/>
        <v>0</v>
      </c>
      <c r="S396" s="307">
        <f t="shared" ca="1" si="195"/>
        <v>5.6519999999999806</v>
      </c>
      <c r="T396" s="304">
        <f t="shared" ca="1" si="175"/>
        <v>55.446119999999816</v>
      </c>
      <c r="U396" s="311">
        <f t="shared" ca="1" si="176"/>
        <v>0</v>
      </c>
      <c r="V396" s="306">
        <f t="shared" ca="1" si="177"/>
        <v>1.0605993262148345</v>
      </c>
      <c r="W396" s="304">
        <f t="shared" ca="1" si="178"/>
        <v>183.9782906684153</v>
      </c>
      <c r="Y396" s="314" t="str">
        <f t="shared" ca="1" si="196"/>
        <v/>
      </c>
      <c r="Z396" s="315" t="str">
        <f t="shared" ca="1" si="197"/>
        <v/>
      </c>
      <c r="AA396" s="316" t="str">
        <f t="shared" ca="1" si="198"/>
        <v/>
      </c>
      <c r="AC396" s="310" t="e">
        <f t="shared" ca="1" si="199"/>
        <v>#N/A</v>
      </c>
      <c r="AD396" s="323" t="e">
        <f t="shared" ca="1" si="200"/>
        <v>#N/A</v>
      </c>
      <c r="AE396" s="324">
        <f t="shared" ca="1" si="179"/>
        <v>1438.578248598177</v>
      </c>
      <c r="AG396" s="306">
        <f t="shared" ca="1" si="201"/>
        <v>-42.335652761410813</v>
      </c>
      <c r="AH396" s="304">
        <f t="shared" ca="1" si="202"/>
        <v>-32.64670249215672</v>
      </c>
    </row>
    <row r="397" spans="1:34" x14ac:dyDescent="0.2">
      <c r="A397" s="347">
        <f t="shared" ca="1" si="180"/>
        <v>0.01</v>
      </c>
      <c r="B397" s="304">
        <f t="shared" ca="1" si="181"/>
        <v>7.9299999999999162</v>
      </c>
      <c r="D397" s="306">
        <f t="shared" ca="1" si="182"/>
        <v>-5.0993276624812269</v>
      </c>
      <c r="E397" s="307">
        <f t="shared" ca="1" si="183"/>
        <v>-41.959104245515221</v>
      </c>
      <c r="F397" s="304">
        <f t="shared" ca="1" si="184"/>
        <v>42.267831405163896</v>
      </c>
      <c r="G397" s="306">
        <f t="shared" ca="1" si="185"/>
        <v>50.659645000775136</v>
      </c>
      <c r="H397" s="307">
        <f t="shared" ca="1" si="186"/>
        <v>319.28953616893</v>
      </c>
      <c r="I397" s="304">
        <f t="shared" ca="1" si="187"/>
        <v>323.28347860442085</v>
      </c>
      <c r="J397" s="306">
        <f t="shared" ca="1" si="188"/>
        <v>206.32951502293886</v>
      </c>
      <c r="K397" s="307">
        <f t="shared" ca="1" si="189"/>
        <v>1441.7732419150786</v>
      </c>
      <c r="L397" s="304">
        <f t="shared" ca="1" si="174"/>
        <v>1456.4621347195803</v>
      </c>
      <c r="M397" s="306">
        <f t="shared" ca="1" si="190"/>
        <v>1.41344432348919</v>
      </c>
      <c r="N397" s="304">
        <f t="shared" ca="1" si="191"/>
        <v>80.98439431265443</v>
      </c>
      <c r="P397" s="310">
        <f t="shared" ca="1" si="192"/>
        <v>23</v>
      </c>
      <c r="Q397" s="304">
        <f t="shared" ca="1" si="193"/>
        <v>0</v>
      </c>
      <c r="R397" s="306">
        <f t="shared" ca="1" si="194"/>
        <v>0</v>
      </c>
      <c r="S397" s="307">
        <f t="shared" ca="1" si="195"/>
        <v>5.6519999999999806</v>
      </c>
      <c r="T397" s="304">
        <f t="shared" ca="1" si="175"/>
        <v>55.446119999999816</v>
      </c>
      <c r="U397" s="311">
        <f t="shared" ca="1" si="176"/>
        <v>0</v>
      </c>
      <c r="V397" s="306">
        <f t="shared" ca="1" si="177"/>
        <v>1.0602587538894965</v>
      </c>
      <c r="W397" s="304">
        <f t="shared" ca="1" si="178"/>
        <v>183.43953968083304</v>
      </c>
      <c r="Y397" s="314" t="str">
        <f t="shared" ca="1" si="196"/>
        <v/>
      </c>
      <c r="Z397" s="315" t="str">
        <f t="shared" ca="1" si="197"/>
        <v/>
      </c>
      <c r="AA397" s="316" t="str">
        <f t="shared" ca="1" si="198"/>
        <v/>
      </c>
      <c r="AC397" s="310" t="e">
        <f t="shared" ca="1" si="199"/>
        <v>#N/A</v>
      </c>
      <c r="AD397" s="323" t="e">
        <f t="shared" ca="1" si="200"/>
        <v>#N/A</v>
      </c>
      <c r="AE397" s="324">
        <f t="shared" ca="1" si="179"/>
        <v>1441.7732419150786</v>
      </c>
      <c r="AG397" s="306">
        <f t="shared" ca="1" si="201"/>
        <v>-42.239884183612176</v>
      </c>
      <c r="AH397" s="304">
        <f t="shared" ca="1" si="202"/>
        <v>-32.551006841545636</v>
      </c>
    </row>
    <row r="398" spans="1:34" x14ac:dyDescent="0.2">
      <c r="A398" s="347">
        <f t="shared" ca="1" si="180"/>
        <v>0.01</v>
      </c>
      <c r="B398" s="304">
        <f t="shared" ca="1" si="181"/>
        <v>7.939999999999916</v>
      </c>
      <c r="D398" s="306">
        <f t="shared" ca="1" si="182"/>
        <v>-5.0859188960262811</v>
      </c>
      <c r="E398" s="307">
        <f t="shared" ca="1" si="183"/>
        <v>-41.864719003265435</v>
      </c>
      <c r="F398" s="304">
        <f t="shared" ca="1" si="184"/>
        <v>42.172517926243522</v>
      </c>
      <c r="G398" s="306">
        <f t="shared" ca="1" si="185"/>
        <v>50.608785811814876</v>
      </c>
      <c r="H398" s="307">
        <f t="shared" ca="1" si="186"/>
        <v>318.87088897889737</v>
      </c>
      <c r="I398" s="304">
        <f t="shared" ca="1" si="187"/>
        <v>322.86203406337273</v>
      </c>
      <c r="J398" s="306">
        <f t="shared" ca="1" si="188"/>
        <v>206.83585717700183</v>
      </c>
      <c r="K398" s="307">
        <f t="shared" ca="1" si="189"/>
        <v>1444.9640440408177</v>
      </c>
      <c r="L398" s="304">
        <f t="shared" ca="1" si="174"/>
        <v>1459.6924882950311</v>
      </c>
      <c r="M398" s="306">
        <f t="shared" ca="1" si="190"/>
        <v>1.4133967099285012</v>
      </c>
      <c r="N398" s="304">
        <f t="shared" ca="1" si="191"/>
        <v>80.981666256579373</v>
      </c>
      <c r="P398" s="310">
        <f t="shared" ca="1" si="192"/>
        <v>23</v>
      </c>
      <c r="Q398" s="304">
        <f t="shared" ca="1" si="193"/>
        <v>0</v>
      </c>
      <c r="R398" s="306">
        <f t="shared" ca="1" si="194"/>
        <v>0</v>
      </c>
      <c r="S398" s="307">
        <f t="shared" ca="1" si="195"/>
        <v>5.6519999999999806</v>
      </c>
      <c r="T398" s="304">
        <f t="shared" ca="1" si="175"/>
        <v>55.446119999999816</v>
      </c>
      <c r="U398" s="311">
        <f t="shared" ca="1" si="176"/>
        <v>0</v>
      </c>
      <c r="V398" s="306">
        <f t="shared" ca="1" si="177"/>
        <v>1.0599187296080474</v>
      </c>
      <c r="W398" s="304">
        <f t="shared" ca="1" si="178"/>
        <v>182.90289836406592</v>
      </c>
      <c r="Y398" s="314" t="str">
        <f t="shared" ca="1" si="196"/>
        <v/>
      </c>
      <c r="Z398" s="315" t="str">
        <f t="shared" ca="1" si="197"/>
        <v/>
      </c>
      <c r="AA398" s="316" t="str">
        <f t="shared" ca="1" si="198"/>
        <v/>
      </c>
      <c r="AC398" s="310" t="e">
        <f t="shared" ca="1" si="199"/>
        <v>#N/A</v>
      </c>
      <c r="AD398" s="323" t="e">
        <f t="shared" ca="1" si="200"/>
        <v>#N/A</v>
      </c>
      <c r="AE398" s="324">
        <f t="shared" ca="1" si="179"/>
        <v>1444.9640440408177</v>
      </c>
      <c r="AG398" s="306">
        <f t="shared" ca="1" si="201"/>
        <v>-42.144490702050746</v>
      </c>
      <c r="AH398" s="304">
        <f t="shared" ca="1" si="202"/>
        <v>-32.455686426191377</v>
      </c>
    </row>
    <row r="399" spans="1:34" x14ac:dyDescent="0.2">
      <c r="A399" s="347">
        <f t="shared" ca="1" si="180"/>
        <v>0.01</v>
      </c>
      <c r="B399" s="304">
        <f t="shared" ca="1" si="181"/>
        <v>7.9499999999999158</v>
      </c>
      <c r="D399" s="306">
        <f t="shared" ca="1" si="182"/>
        <v>-5.0725621154816025</v>
      </c>
      <c r="E399" s="307">
        <f t="shared" ca="1" si="183"/>
        <v>-41.770703368360273</v>
      </c>
      <c r="F399" s="304">
        <f t="shared" ca="1" si="184"/>
        <v>42.077577714300091</v>
      </c>
      <c r="G399" s="306">
        <f t="shared" ca="1" si="185"/>
        <v>50.558060190660058</v>
      </c>
      <c r="H399" s="307">
        <f t="shared" ca="1" si="186"/>
        <v>318.45318194521377</v>
      </c>
      <c r="I399" s="304">
        <f t="shared" ca="1" si="187"/>
        <v>322.44153972662059</v>
      </c>
      <c r="J399" s="306">
        <f t="shared" ca="1" si="188"/>
        <v>207.3416914070142</v>
      </c>
      <c r="K399" s="307">
        <f t="shared" ca="1" si="189"/>
        <v>1448.1506643954383</v>
      </c>
      <c r="L399" s="304">
        <f t="shared" ca="1" si="174"/>
        <v>1462.9186319766629</v>
      </c>
      <c r="M399" s="306">
        <f t="shared" ca="1" si="190"/>
        <v>1.413349019968227</v>
      </c>
      <c r="N399" s="304">
        <f t="shared" ca="1" si="191"/>
        <v>80.978933823130518</v>
      </c>
      <c r="P399" s="310">
        <f t="shared" ca="1" si="192"/>
        <v>23</v>
      </c>
      <c r="Q399" s="304">
        <f t="shared" ca="1" si="193"/>
        <v>0</v>
      </c>
      <c r="R399" s="306">
        <f t="shared" ca="1" si="194"/>
        <v>0</v>
      </c>
      <c r="S399" s="307">
        <f t="shared" ca="1" si="195"/>
        <v>5.6519999999999806</v>
      </c>
      <c r="T399" s="304">
        <f t="shared" ca="1" si="175"/>
        <v>55.446119999999816</v>
      </c>
      <c r="U399" s="311">
        <f t="shared" ca="1" si="176"/>
        <v>0</v>
      </c>
      <c r="V399" s="306">
        <f t="shared" ca="1" si="177"/>
        <v>1.0595792519231715</v>
      </c>
      <c r="W399" s="304">
        <f t="shared" ca="1" si="178"/>
        <v>182.36835563326915</v>
      </c>
      <c r="Y399" s="314" t="str">
        <f t="shared" ca="1" si="196"/>
        <v/>
      </c>
      <c r="Z399" s="315" t="str">
        <f t="shared" ca="1" si="197"/>
        <v/>
      </c>
      <c r="AA399" s="316" t="str">
        <f t="shared" ca="1" si="198"/>
        <v/>
      </c>
      <c r="AC399" s="310" t="e">
        <f t="shared" ca="1" si="199"/>
        <v>#N/A</v>
      </c>
      <c r="AD399" s="323" t="e">
        <f t="shared" ca="1" si="200"/>
        <v>#N/A</v>
      </c>
      <c r="AE399" s="324">
        <f t="shared" ca="1" si="179"/>
        <v>1448.1506643954383</v>
      </c>
      <c r="AG399" s="306">
        <f t="shared" ca="1" si="201"/>
        <v>-42.049470342175965</v>
      </c>
      <c r="AH399" s="304">
        <f t="shared" ca="1" si="202"/>
        <v>-32.36073927177398</v>
      </c>
    </row>
    <row r="400" spans="1:34" x14ac:dyDescent="0.2">
      <c r="A400" s="347">
        <f t="shared" ca="1" si="180"/>
        <v>0.01</v>
      </c>
      <c r="B400" s="304">
        <f t="shared" ca="1" si="181"/>
        <v>7.9599999999999156</v>
      </c>
      <c r="D400" s="306">
        <f t="shared" ca="1" si="182"/>
        <v>-5.0592570471686322</v>
      </c>
      <c r="E400" s="307">
        <f t="shared" ca="1" si="183"/>
        <v>-41.677055398759833</v>
      </c>
      <c r="F400" s="304">
        <f t="shared" ca="1" si="184"/>
        <v>41.98300880809547</v>
      </c>
      <c r="G400" s="306">
        <f t="shared" ca="1" si="185"/>
        <v>50.507467620188372</v>
      </c>
      <c r="H400" s="307">
        <f t="shared" ca="1" si="186"/>
        <v>318.03641139122618</v>
      </c>
      <c r="I400" s="304">
        <f t="shared" ca="1" si="187"/>
        <v>322.02199188256327</v>
      </c>
      <c r="J400" s="306">
        <f t="shared" ca="1" si="188"/>
        <v>207.84701904606843</v>
      </c>
      <c r="K400" s="307">
        <f t="shared" ca="1" si="189"/>
        <v>1451.3331123621206</v>
      </c>
      <c r="L400" s="304">
        <f t="shared" ca="1" si="174"/>
        <v>1466.1405752399926</v>
      </c>
      <c r="M400" s="306">
        <f t="shared" ca="1" si="190"/>
        <v>1.4133012535263609</v>
      </c>
      <c r="N400" s="304">
        <f t="shared" ca="1" si="191"/>
        <v>80.976197007609244</v>
      </c>
      <c r="P400" s="310">
        <f t="shared" ca="1" si="192"/>
        <v>23</v>
      </c>
      <c r="Q400" s="304">
        <f t="shared" ca="1" si="193"/>
        <v>0</v>
      </c>
      <c r="R400" s="306">
        <f t="shared" ca="1" si="194"/>
        <v>0</v>
      </c>
      <c r="S400" s="307">
        <f t="shared" ca="1" si="195"/>
        <v>5.6519999999999806</v>
      </c>
      <c r="T400" s="304">
        <f t="shared" ca="1" si="175"/>
        <v>55.446119999999816</v>
      </c>
      <c r="U400" s="311">
        <f t="shared" ca="1" si="176"/>
        <v>0</v>
      </c>
      <c r="V400" s="306">
        <f t="shared" ca="1" si="177"/>
        <v>1.059240319393574</v>
      </c>
      <c r="W400" s="304">
        <f t="shared" ca="1" si="178"/>
        <v>181.83590047701753</v>
      </c>
      <c r="Y400" s="314" t="str">
        <f t="shared" ca="1" si="196"/>
        <v/>
      </c>
      <c r="Z400" s="315" t="str">
        <f t="shared" ca="1" si="197"/>
        <v/>
      </c>
      <c r="AA400" s="316" t="str">
        <f t="shared" ca="1" si="198"/>
        <v/>
      </c>
      <c r="AC400" s="310" t="e">
        <f t="shared" ca="1" si="199"/>
        <v>#N/A</v>
      </c>
      <c r="AD400" s="323" t="e">
        <f t="shared" ca="1" si="200"/>
        <v>#N/A</v>
      </c>
      <c r="AE400" s="324">
        <f t="shared" ca="1" si="179"/>
        <v>1451.3331123621206</v>
      </c>
      <c r="AG400" s="306">
        <f t="shared" ca="1" si="201"/>
        <v>-41.95482114253138</v>
      </c>
      <c r="AH400" s="304">
        <f t="shared" ca="1" si="202"/>
        <v>-32.266163417068256</v>
      </c>
    </row>
    <row r="401" spans="1:34" x14ac:dyDescent="0.2">
      <c r="A401" s="347">
        <f t="shared" ca="1" si="180"/>
        <v>0.01</v>
      </c>
      <c r="B401" s="304">
        <f t="shared" ca="1" si="181"/>
        <v>7.9699999999999154</v>
      </c>
      <c r="D401" s="306">
        <f t="shared" ca="1" si="182"/>
        <v>-5.04600341922115</v>
      </c>
      <c r="E401" s="307">
        <f t="shared" ca="1" si="183"/>
        <v>-41.58377316528717</v>
      </c>
      <c r="F401" s="304">
        <f t="shared" ca="1" si="184"/>
        <v>41.888809259381539</v>
      </c>
      <c r="G401" s="306">
        <f t="shared" ca="1" si="185"/>
        <v>50.457007585996159</v>
      </c>
      <c r="H401" s="307">
        <f t="shared" ca="1" si="186"/>
        <v>317.62057365957332</v>
      </c>
      <c r="I401" s="304">
        <f t="shared" ca="1" si="187"/>
        <v>321.60338683908435</v>
      </c>
      <c r="J401" s="306">
        <f t="shared" ca="1" si="188"/>
        <v>208.35184142209934</v>
      </c>
      <c r="K401" s="307">
        <f t="shared" ca="1" si="189"/>
        <v>1454.5113972873746</v>
      </c>
      <c r="L401" s="304">
        <f t="shared" ca="1" si="174"/>
        <v>1469.3583275235658</v>
      </c>
      <c r="M401" s="306">
        <f t="shared" ca="1" si="190"/>
        <v>1.4132534105206773</v>
      </c>
      <c r="N401" s="304">
        <f t="shared" ca="1" si="191"/>
        <v>80.97345580530434</v>
      </c>
      <c r="P401" s="310">
        <f t="shared" ca="1" si="192"/>
        <v>23</v>
      </c>
      <c r="Q401" s="304">
        <f t="shared" ca="1" si="193"/>
        <v>0</v>
      </c>
      <c r="R401" s="306">
        <f t="shared" ca="1" si="194"/>
        <v>0</v>
      </c>
      <c r="S401" s="307">
        <f t="shared" ca="1" si="195"/>
        <v>5.6519999999999806</v>
      </c>
      <c r="T401" s="304">
        <f t="shared" ca="1" si="175"/>
        <v>55.446119999999816</v>
      </c>
      <c r="U401" s="311">
        <f t="shared" ca="1" si="176"/>
        <v>0</v>
      </c>
      <c r="V401" s="306">
        <f t="shared" ca="1" si="177"/>
        <v>1.0589019305839507</v>
      </c>
      <c r="W401" s="304">
        <f t="shared" ca="1" si="178"/>
        <v>181.30552195671996</v>
      </c>
      <c r="Y401" s="314" t="str">
        <f t="shared" ca="1" si="196"/>
        <v/>
      </c>
      <c r="Z401" s="315" t="str">
        <f t="shared" ca="1" si="197"/>
        <v/>
      </c>
      <c r="AA401" s="316" t="str">
        <f t="shared" ca="1" si="198"/>
        <v/>
      </c>
      <c r="AC401" s="310" t="e">
        <f t="shared" ca="1" si="199"/>
        <v>#N/A</v>
      </c>
      <c r="AD401" s="323" t="e">
        <f t="shared" ca="1" si="200"/>
        <v>#N/A</v>
      </c>
      <c r="AE401" s="324">
        <f t="shared" ca="1" si="179"/>
        <v>1454.5113972873746</v>
      </c>
      <c r="AG401" s="306">
        <f t="shared" ca="1" si="201"/>
        <v>-41.860541154649901</v>
      </c>
      <c r="AH401" s="304">
        <f t="shared" ca="1" si="202"/>
        <v>-32.171956913839026</v>
      </c>
    </row>
    <row r="402" spans="1:34" x14ac:dyDescent="0.2">
      <c r="A402" s="347">
        <f t="shared" ca="1" si="180"/>
        <v>0.01</v>
      </c>
      <c r="B402" s="304">
        <f t="shared" ca="1" si="181"/>
        <v>7.9799999999999152</v>
      </c>
      <c r="D402" s="306">
        <f t="shared" ca="1" si="182"/>
        <v>-5.0328009615708176</v>
      </c>
      <c r="E402" s="307">
        <f t="shared" ca="1" si="183"/>
        <v>-41.490854751525703</v>
      </c>
      <c r="F402" s="304">
        <f t="shared" ca="1" si="184"/>
        <v>41.794977132796603</v>
      </c>
      <c r="G402" s="306">
        <f t="shared" ca="1" si="185"/>
        <v>50.406679576380448</v>
      </c>
      <c r="H402" s="307">
        <f t="shared" ca="1" si="186"/>
        <v>317.20566511205806</v>
      </c>
      <c r="I402" s="304">
        <f t="shared" ca="1" si="187"/>
        <v>321.1857209234231</v>
      </c>
      <c r="J402" s="306">
        <f t="shared" ca="1" si="188"/>
        <v>208.85615985791122</v>
      </c>
      <c r="K402" s="307">
        <f t="shared" ca="1" si="189"/>
        <v>1457.6855284812327</v>
      </c>
      <c r="L402" s="304">
        <f t="shared" ca="1" si="174"/>
        <v>1472.5718982291507</v>
      </c>
      <c r="M402" s="306">
        <f t="shared" ca="1" si="190"/>
        <v>1.4132054908687313</v>
      </c>
      <c r="N402" s="304">
        <f t="shared" ca="1" si="191"/>
        <v>80.970710211492104</v>
      </c>
      <c r="P402" s="310">
        <f t="shared" ca="1" si="192"/>
        <v>23</v>
      </c>
      <c r="Q402" s="304">
        <f t="shared" ca="1" si="193"/>
        <v>0</v>
      </c>
      <c r="R402" s="306">
        <f t="shared" ca="1" si="194"/>
        <v>0</v>
      </c>
      <c r="S402" s="307">
        <f t="shared" ca="1" si="195"/>
        <v>5.6519999999999806</v>
      </c>
      <c r="T402" s="304">
        <f t="shared" ca="1" si="175"/>
        <v>55.446119999999816</v>
      </c>
      <c r="U402" s="311">
        <f t="shared" ca="1" si="176"/>
        <v>0</v>
      </c>
      <c r="V402" s="306">
        <f t="shared" ca="1" si="177"/>
        <v>1.0585640840649508</v>
      </c>
      <c r="W402" s="304">
        <f t="shared" ca="1" si="178"/>
        <v>180.77720920603804</v>
      </c>
      <c r="Y402" s="314" t="str">
        <f t="shared" ca="1" si="196"/>
        <v/>
      </c>
      <c r="Z402" s="315" t="str">
        <f t="shared" ca="1" si="197"/>
        <v/>
      </c>
      <c r="AA402" s="316" t="str">
        <f t="shared" ca="1" si="198"/>
        <v/>
      </c>
      <c r="AC402" s="310" t="e">
        <f t="shared" ca="1" si="199"/>
        <v>#N/A</v>
      </c>
      <c r="AD402" s="323" t="e">
        <f t="shared" ca="1" si="200"/>
        <v>#N/A</v>
      </c>
      <c r="AE402" s="324">
        <f t="shared" ca="1" si="179"/>
        <v>1457.6855284812327</v>
      </c>
      <c r="AG402" s="306">
        <f t="shared" ca="1" si="201"/>
        <v>-41.766628442950193</v>
      </c>
      <c r="AH402" s="304">
        <f t="shared" ca="1" si="202"/>
        <v>-32.07811782673754</v>
      </c>
    </row>
    <row r="403" spans="1:34" x14ac:dyDescent="0.2">
      <c r="A403" s="347">
        <f t="shared" ca="1" si="180"/>
        <v>0.01</v>
      </c>
      <c r="B403" s="304">
        <f t="shared" ca="1" si="181"/>
        <v>7.9899999999999149</v>
      </c>
      <c r="D403" s="306">
        <f t="shared" ca="1" si="182"/>
        <v>-5.0196494059328307</v>
      </c>
      <c r="E403" s="307">
        <f t="shared" ca="1" si="183"/>
        <v>-41.398298253717385</v>
      </c>
      <c r="F403" s="304">
        <f t="shared" ca="1" si="184"/>
        <v>41.701510505762521</v>
      </c>
      <c r="G403" s="306">
        <f t="shared" ca="1" si="185"/>
        <v>50.35648308232112</v>
      </c>
      <c r="H403" s="307">
        <f t="shared" ca="1" si="186"/>
        <v>316.79168212952089</v>
      </c>
      <c r="I403" s="304">
        <f t="shared" ca="1" si="187"/>
        <v>320.76899048204695</v>
      </c>
      <c r="J403" s="306">
        <f t="shared" ca="1" si="188"/>
        <v>209.35997567120472</v>
      </c>
      <c r="K403" s="307">
        <f t="shared" ca="1" si="189"/>
        <v>1460.8555152174406</v>
      </c>
      <c r="L403" s="304">
        <f t="shared" ca="1" si="174"/>
        <v>1475.7812967219302</v>
      </c>
      <c r="M403" s="306">
        <f t="shared" ca="1" si="190"/>
        <v>1.4131574944878578</v>
      </c>
      <c r="N403" s="304">
        <f t="shared" ca="1" si="191"/>
        <v>80.967960221436144</v>
      </c>
      <c r="P403" s="310">
        <f t="shared" ca="1" si="192"/>
        <v>23</v>
      </c>
      <c r="Q403" s="304">
        <f t="shared" ca="1" si="193"/>
        <v>0</v>
      </c>
      <c r="R403" s="306">
        <f t="shared" ca="1" si="194"/>
        <v>0</v>
      </c>
      <c r="S403" s="307">
        <f t="shared" ca="1" si="195"/>
        <v>5.6519999999999806</v>
      </c>
      <c r="T403" s="304">
        <f t="shared" ca="1" si="175"/>
        <v>55.446119999999816</v>
      </c>
      <c r="U403" s="311">
        <f t="shared" ca="1" si="176"/>
        <v>0</v>
      </c>
      <c r="V403" s="306">
        <f t="shared" ca="1" si="177"/>
        <v>1.05822677841315</v>
      </c>
      <c r="W403" s="304">
        <f t="shared" ca="1" si="178"/>
        <v>180.25095143031226</v>
      </c>
      <c r="Y403" s="314" t="str">
        <f t="shared" ca="1" si="196"/>
        <v/>
      </c>
      <c r="Z403" s="315" t="str">
        <f t="shared" ca="1" si="197"/>
        <v/>
      </c>
      <c r="AA403" s="316" t="str">
        <f t="shared" ca="1" si="198"/>
        <v/>
      </c>
      <c r="AC403" s="310" t="e">
        <f t="shared" ca="1" si="199"/>
        <v>#N/A</v>
      </c>
      <c r="AD403" s="323" t="e">
        <f t="shared" ca="1" si="200"/>
        <v>#N/A</v>
      </c>
      <c r="AE403" s="324">
        <f t="shared" ca="1" si="179"/>
        <v>1460.8555152174406</v>
      </c>
      <c r="AG403" s="306">
        <f t="shared" ca="1" si="201"/>
        <v>-41.673081084633878</v>
      </c>
      <c r="AH403" s="304">
        <f t="shared" ca="1" si="202"/>
        <v>-31.98464423319863</v>
      </c>
    </row>
    <row r="404" spans="1:34" x14ac:dyDescent="0.2">
      <c r="A404" s="347">
        <f t="shared" ca="1" si="180"/>
        <v>0.01</v>
      </c>
      <c r="B404" s="304">
        <f t="shared" ca="1" si="181"/>
        <v>7.9999999999999147</v>
      </c>
      <c r="D404" s="306">
        <f t="shared" ca="1" si="182"/>
        <v>-5.0065484857917575</v>
      </c>
      <c r="E404" s="307">
        <f t="shared" ca="1" si="183"/>
        <v>-41.306101780662132</v>
      </c>
      <c r="F404" s="304">
        <f t="shared" ca="1" si="184"/>
        <v>41.608407468383156</v>
      </c>
      <c r="G404" s="306">
        <f t="shared" ca="1" si="185"/>
        <v>50.306417597463202</v>
      </c>
      <c r="H404" s="307">
        <f t="shared" ca="1" si="186"/>
        <v>316.37862111171427</v>
      </c>
      <c r="I404" s="304">
        <f t="shared" ca="1" si="187"/>
        <v>320.35319188052426</v>
      </c>
      <c r="J404" s="306">
        <f t="shared" ca="1" si="188"/>
        <v>209.86329017460363</v>
      </c>
      <c r="K404" s="307">
        <f t="shared" ca="1" si="189"/>
        <v>1464.0213667336468</v>
      </c>
      <c r="L404" s="304">
        <f t="shared" ca="1" si="174"/>
        <v>1478.9865323306922</v>
      </c>
      <c r="M404" s="306">
        <f t="shared" ca="1" si="190"/>
        <v>1.4131094212951714</v>
      </c>
      <c r="N404" s="304">
        <f t="shared" ca="1" si="191"/>
        <v>80.96520583038749</v>
      </c>
      <c r="P404" s="310">
        <f t="shared" ca="1" si="192"/>
        <v>23</v>
      </c>
      <c r="Q404" s="304">
        <f t="shared" ca="1" si="193"/>
        <v>0</v>
      </c>
      <c r="R404" s="306">
        <f t="shared" ca="1" si="194"/>
        <v>0</v>
      </c>
      <c r="S404" s="307">
        <f t="shared" ca="1" si="195"/>
        <v>5.6519999999999806</v>
      </c>
      <c r="T404" s="304">
        <f t="shared" ca="1" si="175"/>
        <v>55.446119999999816</v>
      </c>
      <c r="U404" s="311">
        <f t="shared" ca="1" si="176"/>
        <v>0</v>
      </c>
      <c r="V404" s="306">
        <f t="shared" ca="1" si="177"/>
        <v>1.0578900122110122</v>
      </c>
      <c r="W404" s="304">
        <f t="shared" ca="1" si="178"/>
        <v>179.72673790599092</v>
      </c>
      <c r="Y404" s="314" t="str">
        <f t="shared" ca="1" si="196"/>
        <v/>
      </c>
      <c r="Z404" s="315" t="str">
        <f t="shared" ca="1" si="197"/>
        <v/>
      </c>
      <c r="AA404" s="316" t="str">
        <f t="shared" ca="1" si="198"/>
        <v/>
      </c>
      <c r="AC404" s="310">
        <f t="shared" ca="1" si="199"/>
        <v>7.9999999999999147</v>
      </c>
      <c r="AD404" s="323">
        <f t="shared" ca="1" si="200"/>
        <v>209.86329017460363</v>
      </c>
      <c r="AE404" s="324">
        <f t="shared" ca="1" si="179"/>
        <v>1464.0213667336468</v>
      </c>
      <c r="AG404" s="306">
        <f t="shared" ca="1" si="201"/>
        <v>-41.579897169583909</v>
      </c>
      <c r="AH404" s="304">
        <f t="shared" ca="1" si="202"/>
        <v>-31.89153422333915</v>
      </c>
    </row>
    <row r="405" spans="1:34" x14ac:dyDescent="0.2">
      <c r="A405" s="347">
        <f t="shared" ca="1" si="180"/>
        <v>0.1</v>
      </c>
      <c r="B405" s="304">
        <f t="shared" ca="1" si="181"/>
        <v>8.0999999999999144</v>
      </c>
      <c r="D405" s="306">
        <f t="shared" ca="1" si="182"/>
        <v>-4.9934979363874454</v>
      </c>
      <c r="E405" s="307">
        <f t="shared" ca="1" si="183"/>
        <v>-41.214263453617825</v>
      </c>
      <c r="F405" s="304">
        <f t="shared" ca="1" si="184"/>
        <v>41.515666123343408</v>
      </c>
      <c r="G405" s="306">
        <f t="shared" ca="1" si="185"/>
        <v>49.807067803824459</v>
      </c>
      <c r="H405" s="307">
        <f t="shared" ca="1" si="186"/>
        <v>312.25719476635248</v>
      </c>
      <c r="I405" s="304">
        <f t="shared" ca="1" si="187"/>
        <v>316.20452192618399</v>
      </c>
      <c r="J405" s="306">
        <f t="shared" ca="1" si="188"/>
        <v>214.86896444466802</v>
      </c>
      <c r="K405" s="307">
        <f t="shared" ca="1" si="189"/>
        <v>1495.45315752755</v>
      </c>
      <c r="L405" s="304">
        <f t="shared" ca="1" si="174"/>
        <v>1510.8106493669693</v>
      </c>
      <c r="M405" s="306">
        <f t="shared" ca="1" si="190"/>
        <v>1.4126222347515329</v>
      </c>
      <c r="N405" s="304">
        <f t="shared" ca="1" si="191"/>
        <v>80.937292097601443</v>
      </c>
      <c r="P405" s="310">
        <f t="shared" ca="1" si="192"/>
        <v>23</v>
      </c>
      <c r="Q405" s="304">
        <f t="shared" ca="1" si="193"/>
        <v>0</v>
      </c>
      <c r="R405" s="306">
        <f t="shared" ca="1" si="194"/>
        <v>0</v>
      </c>
      <c r="S405" s="307">
        <f t="shared" ca="1" si="195"/>
        <v>5.6519999999999806</v>
      </c>
      <c r="T405" s="304">
        <f t="shared" ca="1" si="175"/>
        <v>55.446119999999816</v>
      </c>
      <c r="U405" s="311">
        <f t="shared" ca="1" si="176"/>
        <v>0</v>
      </c>
      <c r="V405" s="306">
        <f t="shared" ca="1" si="177"/>
        <v>1.0545518494496386</v>
      </c>
      <c r="W405" s="304">
        <f t="shared" ca="1" si="178"/>
        <v>174.54931719483375</v>
      </c>
      <c r="Y405" s="314" t="str">
        <f t="shared" ca="1" si="196"/>
        <v/>
      </c>
      <c r="Z405" s="315" t="str">
        <f t="shared" ca="1" si="197"/>
        <v/>
      </c>
      <c r="AA405" s="316" t="str">
        <f t="shared" ca="1" si="198"/>
        <v/>
      </c>
      <c r="AC405" s="310" t="e">
        <f t="shared" ca="1" si="199"/>
        <v>#N/A</v>
      </c>
      <c r="AD405" s="323" t="e">
        <f t="shared" ca="1" si="200"/>
        <v>#N/A</v>
      </c>
      <c r="AE405" s="324">
        <f t="shared" ca="1" si="179"/>
        <v>1495.45315752755</v>
      </c>
      <c r="AG405" s="306">
        <f t="shared" ca="1" si="201"/>
        <v>-41.487074800263585</v>
      </c>
      <c r="AH405" s="304">
        <f t="shared" ca="1" si="202"/>
        <v>-31.798785899856959</v>
      </c>
    </row>
    <row r="406" spans="1:34" x14ac:dyDescent="0.2">
      <c r="A406" s="347">
        <f t="shared" ca="1" si="180"/>
        <v>0.1</v>
      </c>
      <c r="B406" s="304">
        <f t="shared" ca="1" si="181"/>
        <v>8.199999999999914</v>
      </c>
      <c r="D406" s="306">
        <f t="shared" ca="1" si="182"/>
        <v>-4.8645077525698595</v>
      </c>
      <c r="E406" s="307">
        <f t="shared" ca="1" si="183"/>
        <v>-40.307228841485895</v>
      </c>
      <c r="F406" s="304">
        <f t="shared" ca="1" si="184"/>
        <v>40.59970606488087</v>
      </c>
      <c r="G406" s="306">
        <f t="shared" ca="1" si="185"/>
        <v>49.320617028567476</v>
      </c>
      <c r="H406" s="307">
        <f t="shared" ca="1" si="186"/>
        <v>308.2264718822039</v>
      </c>
      <c r="I406" s="304">
        <f t="shared" ca="1" si="187"/>
        <v>312.14753119803731</v>
      </c>
      <c r="J406" s="306">
        <f t="shared" ca="1" si="188"/>
        <v>219.82534868628761</v>
      </c>
      <c r="K406" s="307">
        <f t="shared" ca="1" si="189"/>
        <v>1526.4773408599779</v>
      </c>
      <c r="L406" s="304">
        <f t="shared" ca="1" si="174"/>
        <v>1542.2244506180016</v>
      </c>
      <c r="M406" s="306">
        <f t="shared" ca="1" si="190"/>
        <v>1.4121272041810786</v>
      </c>
      <c r="N406" s="304">
        <f t="shared" ca="1" si="191"/>
        <v>80.908928935184463</v>
      </c>
      <c r="P406" s="310">
        <f t="shared" ca="1" si="192"/>
        <v>23</v>
      </c>
      <c r="Q406" s="304">
        <f t="shared" ca="1" si="193"/>
        <v>0</v>
      </c>
      <c r="R406" s="306">
        <f t="shared" ca="1" si="194"/>
        <v>0</v>
      </c>
      <c r="S406" s="307">
        <f t="shared" ca="1" si="195"/>
        <v>5.6519999999999806</v>
      </c>
      <c r="T406" s="304">
        <f t="shared" ca="1" si="175"/>
        <v>55.446119999999816</v>
      </c>
      <c r="U406" s="311">
        <f t="shared" ca="1" si="176"/>
        <v>0</v>
      </c>
      <c r="V406" s="306">
        <f t="shared" ca="1" si="177"/>
        <v>1.0512665355836832</v>
      </c>
      <c r="W406" s="304">
        <f t="shared" ca="1" si="178"/>
        <v>169.56909905965477</v>
      </c>
      <c r="Y406" s="314" t="str">
        <f t="shared" ca="1" si="196"/>
        <v/>
      </c>
      <c r="Z406" s="315" t="str">
        <f t="shared" ca="1" si="197"/>
        <v/>
      </c>
      <c r="AA406" s="316" t="str">
        <f t="shared" ca="1" si="198"/>
        <v/>
      </c>
      <c r="AC406" s="310" t="e">
        <f t="shared" ca="1" si="199"/>
        <v>#N/A</v>
      </c>
      <c r="AD406" s="323" t="e">
        <f t="shared" ca="1" si="200"/>
        <v>#N/A</v>
      </c>
      <c r="AE406" s="324">
        <f t="shared" ca="1" si="179"/>
        <v>1526.4773408599779</v>
      </c>
      <c r="AG406" s="306">
        <f t="shared" ca="1" si="201"/>
        <v>-40.570289748440146</v>
      </c>
      <c r="AH406" s="304">
        <f t="shared" ca="1" si="202"/>
        <v>-30.882752511471047</v>
      </c>
    </row>
    <row r="407" spans="1:34" x14ac:dyDescent="0.2">
      <c r="A407" s="347">
        <f t="shared" ca="1" si="180"/>
        <v>0.1</v>
      </c>
      <c r="B407" s="304">
        <f t="shared" ca="1" si="181"/>
        <v>8.2999999999999137</v>
      </c>
      <c r="D407" s="306">
        <f t="shared" ca="1" si="182"/>
        <v>-4.7403799915026523</v>
      </c>
      <c r="E407" s="307">
        <f t="shared" ca="1" si="183"/>
        <v>-39.434742920704934</v>
      </c>
      <c r="F407" s="304">
        <f t="shared" ca="1" si="184"/>
        <v>39.718637334202775</v>
      </c>
      <c r="G407" s="306">
        <f t="shared" ca="1" si="185"/>
        <v>48.846579029417214</v>
      </c>
      <c r="H407" s="307">
        <f t="shared" ca="1" si="186"/>
        <v>304.28299759013339</v>
      </c>
      <c r="I407" s="304">
        <f t="shared" ca="1" si="187"/>
        <v>308.17873207817934</v>
      </c>
      <c r="J407" s="306">
        <f t="shared" ca="1" si="188"/>
        <v>224.73370848918685</v>
      </c>
      <c r="K407" s="307">
        <f t="shared" ca="1" si="189"/>
        <v>1557.1028143335948</v>
      </c>
      <c r="L407" s="304">
        <f t="shared" ca="1" si="174"/>
        <v>1573.2369224426766</v>
      </c>
      <c r="M407" s="306">
        <f t="shared" ca="1" si="190"/>
        <v>1.4116242424310279</v>
      </c>
      <c r="N407" s="304">
        <f t="shared" ca="1" si="191"/>
        <v>80.880111349650036</v>
      </c>
      <c r="P407" s="310">
        <f t="shared" ca="1" si="192"/>
        <v>23</v>
      </c>
      <c r="Q407" s="304">
        <f t="shared" ca="1" si="193"/>
        <v>0</v>
      </c>
      <c r="R407" s="306">
        <f t="shared" ca="1" si="194"/>
        <v>0</v>
      </c>
      <c r="S407" s="307">
        <f t="shared" ca="1" si="195"/>
        <v>5.6519999999999806</v>
      </c>
      <c r="T407" s="304">
        <f t="shared" ca="1" si="175"/>
        <v>55.446119999999816</v>
      </c>
      <c r="U407" s="311">
        <f t="shared" ca="1" si="176"/>
        <v>0</v>
      </c>
      <c r="V407" s="306">
        <f t="shared" ca="1" si="177"/>
        <v>1.048032717894692</v>
      </c>
      <c r="W407" s="304">
        <f t="shared" ca="1" si="178"/>
        <v>164.77610504427565</v>
      </c>
      <c r="Y407" s="314" t="str">
        <f t="shared" ca="1" si="196"/>
        <v/>
      </c>
      <c r="Z407" s="315" t="str">
        <f t="shared" ca="1" si="197"/>
        <v/>
      </c>
      <c r="AA407" s="316" t="str">
        <f t="shared" ca="1" si="198"/>
        <v/>
      </c>
      <c r="AC407" s="310" t="e">
        <f t="shared" ca="1" si="199"/>
        <v>#N/A</v>
      </c>
      <c r="AD407" s="323" t="e">
        <f t="shared" ca="1" si="200"/>
        <v>#N/A</v>
      </c>
      <c r="AE407" s="324">
        <f t="shared" ca="1" si="179"/>
        <v>1557.1028143335948</v>
      </c>
      <c r="AG407" s="306">
        <f t="shared" ca="1" si="201"/>
        <v>-39.688380999244899</v>
      </c>
      <c r="AH407" s="304">
        <f t="shared" ca="1" si="202"/>
        <v>-30.0016098831662</v>
      </c>
    </row>
    <row r="408" spans="1:34" x14ac:dyDescent="0.2">
      <c r="A408" s="347">
        <f t="shared" ca="1" si="180"/>
        <v>0.1</v>
      </c>
      <c r="B408" s="304">
        <f t="shared" ca="1" si="181"/>
        <v>8.3999999999999133</v>
      </c>
      <c r="D408" s="306">
        <f t="shared" ca="1" si="182"/>
        <v>-4.6208680672555804</v>
      </c>
      <c r="E408" s="307">
        <f t="shared" ca="1" si="183"/>
        <v>-38.595057519100344</v>
      </c>
      <c r="F408" s="304">
        <f t="shared" ca="1" si="184"/>
        <v>38.87069444449952</v>
      </c>
      <c r="G408" s="306">
        <f t="shared" ca="1" si="185"/>
        <v>48.384492222691655</v>
      </c>
      <c r="H408" s="307">
        <f t="shared" ca="1" si="186"/>
        <v>300.42349183822336</v>
      </c>
      <c r="I408" s="304">
        <f t="shared" ca="1" si="187"/>
        <v>304.29481352122775</v>
      </c>
      <c r="J408" s="306">
        <f t="shared" ca="1" si="188"/>
        <v>229.5952620517923</v>
      </c>
      <c r="K408" s="307">
        <f t="shared" ca="1" si="189"/>
        <v>1587.3381388050127</v>
      </c>
      <c r="L408" s="304">
        <f t="shared" ca="1" si="174"/>
        <v>1603.8567115741957</v>
      </c>
      <c r="M408" s="306">
        <f t="shared" ca="1" si="190"/>
        <v>1.4111132600033098</v>
      </c>
      <c r="N408" s="304">
        <f t="shared" ca="1" si="191"/>
        <v>80.850834213136451</v>
      </c>
      <c r="P408" s="310">
        <f t="shared" ca="1" si="192"/>
        <v>23</v>
      </c>
      <c r="Q408" s="304">
        <f t="shared" ca="1" si="193"/>
        <v>0</v>
      </c>
      <c r="R408" s="306">
        <f t="shared" ca="1" si="194"/>
        <v>0</v>
      </c>
      <c r="S408" s="307">
        <f t="shared" ca="1" si="195"/>
        <v>5.6519999999999806</v>
      </c>
      <c r="T408" s="304">
        <f t="shared" ca="1" si="175"/>
        <v>55.446119999999816</v>
      </c>
      <c r="U408" s="311">
        <f t="shared" ca="1" si="176"/>
        <v>0</v>
      </c>
      <c r="V408" s="306">
        <f t="shared" ca="1" si="177"/>
        <v>1.0448490978801357</v>
      </c>
      <c r="W408" s="304">
        <f t="shared" ca="1" si="178"/>
        <v>160.16098696437558</v>
      </c>
      <c r="Y408" s="314" t="str">
        <f t="shared" ca="1" si="196"/>
        <v/>
      </c>
      <c r="Z408" s="315" t="str">
        <f t="shared" ca="1" si="197"/>
        <v/>
      </c>
      <c r="AA408" s="316" t="str">
        <f t="shared" ca="1" si="198"/>
        <v/>
      </c>
      <c r="AC408" s="310" t="e">
        <f t="shared" ca="1" si="199"/>
        <v>#N/A</v>
      </c>
      <c r="AD408" s="323" t="e">
        <f t="shared" ca="1" si="200"/>
        <v>#N/A</v>
      </c>
      <c r="AE408" s="324">
        <f t="shared" ca="1" si="179"/>
        <v>1587.3381388050127</v>
      </c>
      <c r="AG408" s="306">
        <f t="shared" ca="1" si="201"/>
        <v>-38.839582831013558</v>
      </c>
      <c r="AH408" s="304">
        <f t="shared" ca="1" si="202"/>
        <v>-29.153592541450145</v>
      </c>
    </row>
    <row r="409" spans="1:34" x14ac:dyDescent="0.2">
      <c r="A409" s="347">
        <f t="shared" ca="1" si="180"/>
        <v>0.1</v>
      </c>
      <c r="B409" s="304">
        <f t="shared" ca="1" si="181"/>
        <v>8.499999999999913</v>
      </c>
      <c r="D409" s="306">
        <f t="shared" ca="1" si="182"/>
        <v>-4.5057409667310111</v>
      </c>
      <c r="E409" s="307">
        <f t="shared" ca="1" si="183"/>
        <v>-37.786534884642812</v>
      </c>
      <c r="F409" s="304">
        <f t="shared" ca="1" si="184"/>
        <v>38.054223421948926</v>
      </c>
      <c r="G409" s="306">
        <f t="shared" ca="1" si="185"/>
        <v>47.933918126018554</v>
      </c>
      <c r="H409" s="307">
        <f t="shared" ca="1" si="186"/>
        <v>296.64483834975908</v>
      </c>
      <c r="I409" s="304">
        <f t="shared" ca="1" si="187"/>
        <v>300.49262990374081</v>
      </c>
      <c r="J409" s="306">
        <f t="shared" ca="1" si="188"/>
        <v>234.4111825692278</v>
      </c>
      <c r="K409" s="307">
        <f t="shared" ca="1" si="189"/>
        <v>1617.1915553144117</v>
      </c>
      <c r="L409" s="304">
        <f t="shared" ca="1" si="174"/>
        <v>1634.0921421675553</v>
      </c>
      <c r="M409" s="306">
        <f t="shared" ca="1" si="190"/>
        <v>1.4105941650105103</v>
      </c>
      <c r="N409" s="304">
        <f t="shared" ca="1" si="191"/>
        <v>80.821092260882665</v>
      </c>
      <c r="P409" s="310">
        <f t="shared" ca="1" si="192"/>
        <v>23</v>
      </c>
      <c r="Q409" s="304">
        <f t="shared" ca="1" si="193"/>
        <v>0</v>
      </c>
      <c r="R409" s="306">
        <f t="shared" ca="1" si="194"/>
        <v>0</v>
      </c>
      <c r="S409" s="307">
        <f t="shared" ca="1" si="195"/>
        <v>5.6519999999999806</v>
      </c>
      <c r="T409" s="304">
        <f t="shared" ca="1" si="175"/>
        <v>55.446119999999816</v>
      </c>
      <c r="U409" s="311">
        <f t="shared" ca="1" si="176"/>
        <v>0</v>
      </c>
      <c r="V409" s="306">
        <f t="shared" ca="1" si="177"/>
        <v>1.0417144284038018</v>
      </c>
      <c r="W409" s="304">
        <f t="shared" ca="1" si="178"/>
        <v>155.71497941962105</v>
      </c>
      <c r="Y409" s="314" t="str">
        <f t="shared" ca="1" si="196"/>
        <v/>
      </c>
      <c r="Z409" s="315" t="str">
        <f t="shared" ca="1" si="197"/>
        <v/>
      </c>
      <c r="AA409" s="316" t="str">
        <f t="shared" ca="1" si="198"/>
        <v/>
      </c>
      <c r="AC409" s="310" t="e">
        <f t="shared" ca="1" si="199"/>
        <v>#N/A</v>
      </c>
      <c r="AD409" s="323" t="e">
        <f t="shared" ca="1" si="200"/>
        <v>#N/A</v>
      </c>
      <c r="AE409" s="324">
        <f t="shared" ca="1" si="179"/>
        <v>1617.1915553144117</v>
      </c>
      <c r="AG409" s="306">
        <f t="shared" ca="1" si="201"/>
        <v>-38.022241027996905</v>
      </c>
      <c r="AH409" s="304">
        <f t="shared" ca="1" si="202"/>
        <v>-28.337046525898113</v>
      </c>
    </row>
    <row r="410" spans="1:34" x14ac:dyDescent="0.2">
      <c r="A410" s="347">
        <f t="shared" ca="1" si="180"/>
        <v>0.1</v>
      </c>
      <c r="B410" s="304">
        <f t="shared" ca="1" si="181"/>
        <v>8.5999999999999126</v>
      </c>
      <c r="D410" s="306">
        <f t="shared" ca="1" si="182"/>
        <v>-4.3947820762211292</v>
      </c>
      <c r="E410" s="307">
        <f t="shared" ca="1" si="183"/>
        <v>-37.007639365837541</v>
      </c>
      <c r="F410" s="304">
        <f t="shared" ca="1" si="184"/>
        <v>37.267673403760568</v>
      </c>
      <c r="G410" s="306">
        <f t="shared" ca="1" si="185"/>
        <v>47.494439918396438</v>
      </c>
      <c r="H410" s="307">
        <f t="shared" ca="1" si="186"/>
        <v>292.94407441317531</v>
      </c>
      <c r="I410" s="304">
        <f t="shared" ca="1" si="187"/>
        <v>296.76919071385117</v>
      </c>
      <c r="J410" s="306">
        <f t="shared" ca="1" si="188"/>
        <v>239.18260047144855</v>
      </c>
      <c r="K410" s="307">
        <f t="shared" ca="1" si="189"/>
        <v>1646.6710009525584</v>
      </c>
      <c r="L410" s="304">
        <f t="shared" ca="1" si="174"/>
        <v>1663.9512317812637</v>
      </c>
      <c r="M410" s="306">
        <f t="shared" ca="1" si="190"/>
        <v>1.4100668631299305</v>
      </c>
      <c r="N410" s="304">
        <f t="shared" ca="1" si="191"/>
        <v>80.790880088596126</v>
      </c>
      <c r="P410" s="310">
        <f t="shared" ca="1" si="192"/>
        <v>23</v>
      </c>
      <c r="Q410" s="304">
        <f t="shared" ca="1" si="193"/>
        <v>0</v>
      </c>
      <c r="R410" s="306">
        <f t="shared" ca="1" si="194"/>
        <v>0</v>
      </c>
      <c r="S410" s="307">
        <f t="shared" ca="1" si="195"/>
        <v>5.6519999999999806</v>
      </c>
      <c r="T410" s="304">
        <f t="shared" ca="1" si="175"/>
        <v>55.446119999999816</v>
      </c>
      <c r="U410" s="311">
        <f t="shared" ca="1" si="176"/>
        <v>0</v>
      </c>
      <c r="V410" s="306">
        <f t="shared" ca="1" si="177"/>
        <v>1.0386275110313157</v>
      </c>
      <c r="W410" s="304">
        <f t="shared" ca="1" si="178"/>
        <v>151.42985644872689</v>
      </c>
      <c r="Y410" s="314" t="str">
        <f t="shared" ca="1" si="196"/>
        <v/>
      </c>
      <c r="Z410" s="315" t="str">
        <f t="shared" ca="1" si="197"/>
        <v/>
      </c>
      <c r="AA410" s="316" t="str">
        <f t="shared" ca="1" si="198"/>
        <v/>
      </c>
      <c r="AC410" s="310" t="e">
        <f t="shared" ca="1" si="199"/>
        <v>#N/A</v>
      </c>
      <c r="AD410" s="323" t="e">
        <f t="shared" ca="1" si="200"/>
        <v>#N/A</v>
      </c>
      <c r="AE410" s="324">
        <f t="shared" ca="1" si="179"/>
        <v>1646.6710009525584</v>
      </c>
      <c r="AG410" s="306">
        <f t="shared" ca="1" si="201"/>
        <v>-37.23480447820809</v>
      </c>
      <c r="AH410" s="304">
        <f t="shared" ca="1" si="202"/>
        <v>-27.550420987194194</v>
      </c>
    </row>
    <row r="411" spans="1:34" x14ac:dyDescent="0.2">
      <c r="A411" s="347">
        <f t="shared" ca="1" si="180"/>
        <v>0.1</v>
      </c>
      <c r="B411" s="304">
        <f t="shared" ca="1" si="181"/>
        <v>8.6999999999999122</v>
      </c>
      <c r="D411" s="306">
        <f t="shared" ca="1" si="182"/>
        <v>-4.2877881103414586</v>
      </c>
      <c r="E411" s="307">
        <f t="shared" ca="1" si="183"/>
        <v>-36.256929817931521</v>
      </c>
      <c r="F411" s="304">
        <f t="shared" ca="1" si="184"/>
        <v>36.509588969222825</v>
      </c>
      <c r="G411" s="306">
        <f t="shared" ca="1" si="185"/>
        <v>47.065661107362295</v>
      </c>
      <c r="H411" s="307">
        <f t="shared" ca="1" si="186"/>
        <v>289.31838143138214</v>
      </c>
      <c r="I411" s="304">
        <f t="shared" ca="1" si="187"/>
        <v>293.1216510078159</v>
      </c>
      <c r="J411" s="306">
        <f t="shared" ca="1" si="188"/>
        <v>243.91060552273649</v>
      </c>
      <c r="K411" s="307">
        <f t="shared" ca="1" si="189"/>
        <v>1675.7841237447863</v>
      </c>
      <c r="L411" s="304">
        <f t="shared" ca="1" si="174"/>
        <v>1693.4417063724245</v>
      </c>
      <c r="M411" s="306">
        <f t="shared" ca="1" si="190"/>
        <v>1.4095312575557262</v>
      </c>
      <c r="N411" s="304">
        <f t="shared" ca="1" si="191"/>
        <v>80.760192149710534</v>
      </c>
      <c r="P411" s="310">
        <f t="shared" ca="1" si="192"/>
        <v>23</v>
      </c>
      <c r="Q411" s="304">
        <f t="shared" ca="1" si="193"/>
        <v>0</v>
      </c>
      <c r="R411" s="306">
        <f t="shared" ca="1" si="194"/>
        <v>0</v>
      </c>
      <c r="S411" s="307">
        <f t="shared" ca="1" si="195"/>
        <v>5.6519999999999806</v>
      </c>
      <c r="T411" s="304">
        <f t="shared" ca="1" si="175"/>
        <v>55.446119999999816</v>
      </c>
      <c r="U411" s="311">
        <f t="shared" ca="1" si="176"/>
        <v>0</v>
      </c>
      <c r="V411" s="306">
        <f t="shared" ca="1" si="177"/>
        <v>1.0355871935365346</v>
      </c>
      <c r="W411" s="304">
        <f t="shared" ca="1" si="178"/>
        <v>147.29789191793338</v>
      </c>
      <c r="Y411" s="314" t="str">
        <f t="shared" ca="1" si="196"/>
        <v/>
      </c>
      <c r="Z411" s="315" t="str">
        <f t="shared" ca="1" si="197"/>
        <v/>
      </c>
      <c r="AA411" s="316" t="str">
        <f t="shared" ca="1" si="198"/>
        <v/>
      </c>
      <c r="AC411" s="310" t="e">
        <f t="shared" ca="1" si="199"/>
        <v>#N/A</v>
      </c>
      <c r="AD411" s="323" t="e">
        <f t="shared" ca="1" si="200"/>
        <v>#N/A</v>
      </c>
      <c r="AE411" s="324">
        <f t="shared" ca="1" si="179"/>
        <v>1675.7841237447863</v>
      </c>
      <c r="AG411" s="306">
        <f t="shared" ca="1" si="201"/>
        <v>-36.475817504264938</v>
      </c>
      <c r="AH411" s="304">
        <f t="shared" ca="1" si="202"/>
        <v>-26.792260518175411</v>
      </c>
    </row>
    <row r="412" spans="1:34" x14ac:dyDescent="0.2">
      <c r="A412" s="347">
        <f t="shared" ca="1" si="180"/>
        <v>0.1</v>
      </c>
      <c r="B412" s="304">
        <f t="shared" ca="1" si="181"/>
        <v>8.7999999999999119</v>
      </c>
      <c r="D412" s="306">
        <f t="shared" ca="1" si="182"/>
        <v>-4.1845681332206226</v>
      </c>
      <c r="E412" s="307">
        <f t="shared" ca="1" si="183"/>
        <v>-35.533052663194198</v>
      </c>
      <c r="F412" s="304">
        <f t="shared" ca="1" si="184"/>
        <v>35.778603131297587</v>
      </c>
      <c r="G412" s="306">
        <f t="shared" ca="1" si="185"/>
        <v>46.647204294040236</v>
      </c>
      <c r="H412" s="307">
        <f t="shared" ca="1" si="186"/>
        <v>285.76507616506274</v>
      </c>
      <c r="I412" s="304">
        <f t="shared" ca="1" si="187"/>
        <v>289.54730256742857</v>
      </c>
      <c r="J412" s="306">
        <f t="shared" ca="1" si="188"/>
        <v>248.59624879280662</v>
      </c>
      <c r="K412" s="307">
        <f t="shared" ca="1" si="189"/>
        <v>1704.5382966246084</v>
      </c>
      <c r="L412" s="304">
        <f t="shared" ca="1" si="174"/>
        <v>1722.5710143775718</v>
      </c>
      <c r="M412" s="306">
        <f t="shared" ca="1" si="190"/>
        <v>1.4089872489490769</v>
      </c>
      <c r="N412" s="304">
        <f t="shared" ca="1" si="191"/>
        <v>80.729022752530739</v>
      </c>
      <c r="P412" s="310">
        <f t="shared" ca="1" si="192"/>
        <v>23</v>
      </c>
      <c r="Q412" s="304">
        <f t="shared" ca="1" si="193"/>
        <v>0</v>
      </c>
      <c r="R412" s="306">
        <f t="shared" ca="1" si="194"/>
        <v>0</v>
      </c>
      <c r="S412" s="307">
        <f t="shared" ca="1" si="195"/>
        <v>5.6519999999999806</v>
      </c>
      <c r="T412" s="304">
        <f t="shared" ca="1" si="175"/>
        <v>55.446119999999816</v>
      </c>
      <c r="U412" s="311">
        <f t="shared" ca="1" si="176"/>
        <v>0</v>
      </c>
      <c r="V412" s="306">
        <f t="shared" ca="1" si="177"/>
        <v>1.0325923675658313</v>
      </c>
      <c r="W412" s="304">
        <f t="shared" ca="1" si="178"/>
        <v>143.31182327850308</v>
      </c>
      <c r="Y412" s="314" t="str">
        <f t="shared" ca="1" si="196"/>
        <v/>
      </c>
      <c r="Z412" s="315" t="str">
        <f t="shared" ca="1" si="197"/>
        <v/>
      </c>
      <c r="AA412" s="316" t="str">
        <f t="shared" ca="1" si="198"/>
        <v/>
      </c>
      <c r="AC412" s="310" t="e">
        <f t="shared" ca="1" si="199"/>
        <v>#N/A</v>
      </c>
      <c r="AD412" s="323" t="e">
        <f t="shared" ca="1" si="200"/>
        <v>#N/A</v>
      </c>
      <c r="AE412" s="324">
        <f t="shared" ca="1" si="179"/>
        <v>1704.5382966246084</v>
      </c>
      <c r="AG412" s="306">
        <f t="shared" ca="1" si="201"/>
        <v>-35.743912854771921</v>
      </c>
      <c r="AH412" s="304">
        <f t="shared" ca="1" si="202"/>
        <v>-26.061198145423546</v>
      </c>
    </row>
    <row r="413" spans="1:34" x14ac:dyDescent="0.2">
      <c r="A413" s="347">
        <f t="shared" ca="1" si="180"/>
        <v>0.1</v>
      </c>
      <c r="B413" s="304">
        <f t="shared" ca="1" si="181"/>
        <v>8.8999999999999115</v>
      </c>
      <c r="D413" s="306">
        <f t="shared" ca="1" si="182"/>
        <v>-4.0849426629418044</v>
      </c>
      <c r="E413" s="307">
        <f t="shared" ca="1" si="183"/>
        <v>-34.834735541431364</v>
      </c>
      <c r="F413" s="304">
        <f t="shared" ca="1" si="184"/>
        <v>35.073430924290591</v>
      </c>
      <c r="G413" s="306">
        <f t="shared" ca="1" si="185"/>
        <v>46.238710027746059</v>
      </c>
      <c r="H413" s="307">
        <f t="shared" ca="1" si="186"/>
        <v>282.28160261091961</v>
      </c>
      <c r="I413" s="304">
        <f t="shared" ca="1" si="187"/>
        <v>286.04356569868708</v>
      </c>
      <c r="J413" s="306">
        <f t="shared" ca="1" si="188"/>
        <v>253.24054450889594</v>
      </c>
      <c r="K413" s="307">
        <f t="shared" ca="1" si="189"/>
        <v>1732.9406305634075</v>
      </c>
      <c r="L413" s="304">
        <f t="shared" ca="1" si="174"/>
        <v>1751.3463399455466</v>
      </c>
      <c r="M413" s="306">
        <f t="shared" ca="1" si="190"/>
        <v>1.4084347353863473</v>
      </c>
      <c r="N413" s="304">
        <f t="shared" ca="1" si="191"/>
        <v>80.697366057262599</v>
      </c>
      <c r="P413" s="310">
        <f t="shared" ca="1" si="192"/>
        <v>23</v>
      </c>
      <c r="Q413" s="304">
        <f t="shared" ca="1" si="193"/>
        <v>0</v>
      </c>
      <c r="R413" s="306">
        <f t="shared" ca="1" si="194"/>
        <v>0</v>
      </c>
      <c r="S413" s="307">
        <f t="shared" ca="1" si="195"/>
        <v>5.6519999999999806</v>
      </c>
      <c r="T413" s="304">
        <f t="shared" ca="1" si="175"/>
        <v>55.446119999999816</v>
      </c>
      <c r="U413" s="311">
        <f t="shared" ca="1" si="176"/>
        <v>0</v>
      </c>
      <c r="V413" s="306">
        <f t="shared" ca="1" si="177"/>
        <v>1.0296419664484087</v>
      </c>
      <c r="W413" s="304">
        <f t="shared" ca="1" si="178"/>
        <v>139.46481836848702</v>
      </c>
      <c r="Y413" s="314" t="str">
        <f t="shared" ca="1" si="196"/>
        <v/>
      </c>
      <c r="Z413" s="315" t="str">
        <f t="shared" ca="1" si="197"/>
        <v/>
      </c>
      <c r="AA413" s="316" t="str">
        <f t="shared" ca="1" si="198"/>
        <v/>
      </c>
      <c r="AC413" s="310" t="e">
        <f t="shared" ca="1" si="199"/>
        <v>#N/A</v>
      </c>
      <c r="AD413" s="323" t="e">
        <f t="shared" ca="1" si="200"/>
        <v>#N/A</v>
      </c>
      <c r="AE413" s="324">
        <f t="shared" ca="1" si="179"/>
        <v>1732.9406305634075</v>
      </c>
      <c r="AG413" s="306">
        <f t="shared" ca="1" si="201"/>
        <v>-35.037805291769516</v>
      </c>
      <c r="AH413" s="304">
        <f t="shared" ca="1" si="202"/>
        <v>-25.355948916932693</v>
      </c>
    </row>
    <row r="414" spans="1:34" x14ac:dyDescent="0.2">
      <c r="A414" s="347">
        <f t="shared" ca="1" si="180"/>
        <v>0.1</v>
      </c>
      <c r="B414" s="304">
        <f t="shared" ca="1" si="181"/>
        <v>8.9999999999999112</v>
      </c>
      <c r="D414" s="306">
        <f t="shared" ca="1" si="182"/>
        <v>-3.9887428512105818</v>
      </c>
      <c r="E414" s="307">
        <f t="shared" ca="1" si="183"/>
        <v>-34.16078149383781</v>
      </c>
      <c r="F414" s="304">
        <f t="shared" ca="1" si="184"/>
        <v>34.392863530139728</v>
      </c>
      <c r="G414" s="306">
        <f t="shared" ca="1" si="185"/>
        <v>45.839835742624999</v>
      </c>
      <c r="H414" s="307">
        <f t="shared" ca="1" si="186"/>
        <v>278.86552446153581</v>
      </c>
      <c r="I414" s="304">
        <f t="shared" ca="1" si="187"/>
        <v>282.60798161785567</v>
      </c>
      <c r="J414" s="306">
        <f t="shared" ca="1" si="188"/>
        <v>257.84447179741449</v>
      </c>
      <c r="K414" s="307">
        <f t="shared" ca="1" si="189"/>
        <v>1760.9979869170302</v>
      </c>
      <c r="L414" s="304">
        <f t="shared" ca="1" si="174"/>
        <v>1779.7746153831727</v>
      </c>
      <c r="M414" s="306">
        <f t="shared" ca="1" si="190"/>
        <v>1.4078736123051854</v>
      </c>
      <c r="N414" s="304">
        <f t="shared" ca="1" si="191"/>
        <v>80.66521607292465</v>
      </c>
      <c r="P414" s="310">
        <f t="shared" ca="1" si="192"/>
        <v>23</v>
      </c>
      <c r="Q414" s="304">
        <f t="shared" ca="1" si="193"/>
        <v>0</v>
      </c>
      <c r="R414" s="306">
        <f t="shared" ca="1" si="194"/>
        <v>0</v>
      </c>
      <c r="S414" s="307">
        <f t="shared" ca="1" si="195"/>
        <v>5.6519999999999806</v>
      </c>
      <c r="T414" s="304">
        <f t="shared" ca="1" si="175"/>
        <v>55.446119999999816</v>
      </c>
      <c r="U414" s="311">
        <f t="shared" ca="1" si="176"/>
        <v>0</v>
      </c>
      <c r="V414" s="306">
        <f t="shared" ca="1" si="177"/>
        <v>1.0267349631418274</v>
      </c>
      <c r="W414" s="304">
        <f t="shared" ca="1" si="178"/>
        <v>135.75044496891081</v>
      </c>
      <c r="Y414" s="314" t="str">
        <f t="shared" ca="1" si="196"/>
        <v/>
      </c>
      <c r="Z414" s="315" t="str">
        <f t="shared" ca="1" si="197"/>
        <v/>
      </c>
      <c r="AA414" s="316" t="str">
        <f t="shared" ca="1" si="198"/>
        <v/>
      </c>
      <c r="AC414" s="310">
        <f t="shared" ca="1" si="199"/>
        <v>8.9999999999999112</v>
      </c>
      <c r="AD414" s="323">
        <f t="shared" ca="1" si="200"/>
        <v>257.84447179741449</v>
      </c>
      <c r="AE414" s="324">
        <f t="shared" ca="1" si="179"/>
        <v>1760.9979869170302</v>
      </c>
      <c r="AG414" s="306">
        <f t="shared" ca="1" si="201"/>
        <v>-34.356285716793032</v>
      </c>
      <c r="AH414" s="304">
        <f t="shared" ca="1" si="202"/>
        <v>-24.675304028394816</v>
      </c>
    </row>
    <row r="415" spans="1:34" x14ac:dyDescent="0.2">
      <c r="A415" s="347">
        <f t="shared" ca="1" si="180"/>
        <v>0.1</v>
      </c>
      <c r="B415" s="304">
        <f t="shared" ca="1" si="181"/>
        <v>9.0999999999999108</v>
      </c>
      <c r="D415" s="306">
        <f t="shared" ca="1" si="182"/>
        <v>-3.8958097310867554</v>
      </c>
      <c r="E415" s="307">
        <f t="shared" ca="1" si="183"/>
        <v>-33.510063629408869</v>
      </c>
      <c r="F415" s="304">
        <f t="shared" ca="1" si="184"/>
        <v>33.735762892038792</v>
      </c>
      <c r="G415" s="306">
        <f t="shared" ca="1" si="185"/>
        <v>45.45025476951632</v>
      </c>
      <c r="H415" s="307">
        <f t="shared" ca="1" si="186"/>
        <v>275.51451809859492</v>
      </c>
      <c r="I415" s="304">
        <f t="shared" ca="1" si="187"/>
        <v>279.2382053761894</v>
      </c>
      <c r="J415" s="306">
        <f t="shared" ca="1" si="188"/>
        <v>262.40897632302153</v>
      </c>
      <c r="K415" s="307">
        <f t="shared" ca="1" si="189"/>
        <v>1788.7169890450368</v>
      </c>
      <c r="L415" s="304">
        <f t="shared" ca="1" si="174"/>
        <v>1807.8625328694764</v>
      </c>
      <c r="M415" s="306">
        <f t="shared" ca="1" si="190"/>
        <v>1.407303772448508</v>
      </c>
      <c r="N415" s="304">
        <f t="shared" ca="1" si="191"/>
        <v>80.632566654138699</v>
      </c>
      <c r="P415" s="310">
        <f t="shared" ca="1" si="192"/>
        <v>23</v>
      </c>
      <c r="Q415" s="304">
        <f t="shared" ca="1" si="193"/>
        <v>0</v>
      </c>
      <c r="R415" s="306">
        <f t="shared" ca="1" si="194"/>
        <v>0</v>
      </c>
      <c r="S415" s="307">
        <f t="shared" ca="1" si="195"/>
        <v>5.6519999999999806</v>
      </c>
      <c r="T415" s="304">
        <f t="shared" ca="1" si="175"/>
        <v>55.446119999999816</v>
      </c>
      <c r="U415" s="311">
        <f t="shared" ca="1" si="176"/>
        <v>0</v>
      </c>
      <c r="V415" s="306">
        <f t="shared" ca="1" si="177"/>
        <v>1.0238703683028372</v>
      </c>
      <c r="W415" s="304">
        <f t="shared" ca="1" si="178"/>
        <v>132.16264285530366</v>
      </c>
      <c r="Y415" s="314" t="str">
        <f t="shared" ca="1" si="196"/>
        <v/>
      </c>
      <c r="Z415" s="315" t="str">
        <f t="shared" ca="1" si="197"/>
        <v/>
      </c>
      <c r="AA415" s="316" t="str">
        <f t="shared" ca="1" si="198"/>
        <v/>
      </c>
      <c r="AC415" s="310" t="e">
        <f t="shared" ca="1" si="199"/>
        <v>#N/A</v>
      </c>
      <c r="AD415" s="323" t="e">
        <f t="shared" ca="1" si="200"/>
        <v>#N/A</v>
      </c>
      <c r="AE415" s="324">
        <f t="shared" ca="1" si="179"/>
        <v>1788.7169890450368</v>
      </c>
      <c r="AG415" s="306">
        <f t="shared" ca="1" si="201"/>
        <v>-33.698215784257847</v>
      </c>
      <c r="AH415" s="304">
        <f t="shared" ca="1" si="202"/>
        <v>-24.018125436820821</v>
      </c>
    </row>
    <row r="416" spans="1:34" x14ac:dyDescent="0.2">
      <c r="A416" s="347">
        <f t="shared" ca="1" si="180"/>
        <v>0.1</v>
      </c>
      <c r="B416" s="304">
        <f t="shared" ca="1" si="181"/>
        <v>9.1999999999999105</v>
      </c>
      <c r="D416" s="306">
        <f t="shared" ca="1" si="182"/>
        <v>-3.805993526377875</v>
      </c>
      <c r="E416" s="307">
        <f t="shared" ca="1" si="183"/>
        <v>-32.88152022852195</v>
      </c>
      <c r="F416" s="304">
        <f t="shared" ca="1" si="184"/>
        <v>33.101056769558404</v>
      </c>
      <c r="G416" s="306">
        <f t="shared" ca="1" si="185"/>
        <v>45.069655416878533</v>
      </c>
      <c r="H416" s="307">
        <f t="shared" ca="1" si="186"/>
        <v>272.2263660757427</v>
      </c>
      <c r="I416" s="304">
        <f t="shared" ca="1" si="187"/>
        <v>275.93199927917101</v>
      </c>
      <c r="J416" s="306">
        <f t="shared" ca="1" si="188"/>
        <v>266.93497183234126</v>
      </c>
      <c r="K416" s="307">
        <f t="shared" ca="1" si="189"/>
        <v>1816.1040332537536</v>
      </c>
      <c r="L416" s="304">
        <f t="shared" ca="1" si="174"/>
        <v>1835.616555489649</v>
      </c>
      <c r="M416" s="306">
        <f t="shared" ca="1" si="190"/>
        <v>1.4067251058063199</v>
      </c>
      <c r="N416" s="304">
        <f t="shared" ca="1" si="191"/>
        <v>80.599411497796311</v>
      </c>
      <c r="P416" s="310">
        <f t="shared" ca="1" si="192"/>
        <v>23</v>
      </c>
      <c r="Q416" s="304">
        <f t="shared" ca="1" si="193"/>
        <v>0</v>
      </c>
      <c r="R416" s="306">
        <f t="shared" ca="1" si="194"/>
        <v>0</v>
      </c>
      <c r="S416" s="307">
        <f t="shared" ca="1" si="195"/>
        <v>5.6519999999999806</v>
      </c>
      <c r="T416" s="304">
        <f t="shared" ca="1" si="175"/>
        <v>55.446119999999816</v>
      </c>
      <c r="U416" s="311">
        <f t="shared" ca="1" si="176"/>
        <v>0</v>
      </c>
      <c r="V416" s="306">
        <f t="shared" ca="1" si="177"/>
        <v>1.0210472284744565</v>
      </c>
      <c r="W416" s="304">
        <f t="shared" ca="1" si="178"/>
        <v>128.69569811266848</v>
      </c>
      <c r="Y416" s="314" t="str">
        <f t="shared" ca="1" si="196"/>
        <v/>
      </c>
      <c r="Z416" s="315" t="str">
        <f t="shared" ca="1" si="197"/>
        <v/>
      </c>
      <c r="AA416" s="316" t="str">
        <f t="shared" ca="1" si="198"/>
        <v/>
      </c>
      <c r="AC416" s="310" t="e">
        <f t="shared" ca="1" si="199"/>
        <v>#N/A</v>
      </c>
      <c r="AD416" s="323" t="e">
        <f t="shared" ca="1" si="200"/>
        <v>#N/A</v>
      </c>
      <c r="AE416" s="324">
        <f t="shared" ca="1" si="179"/>
        <v>1816.1040332537536</v>
      </c>
      <c r="AG416" s="306">
        <f t="shared" ca="1" si="201"/>
        <v>-33.062522956332778</v>
      </c>
      <c r="AH416" s="304">
        <f t="shared" ca="1" si="202"/>
        <v>-23.383340915658902</v>
      </c>
    </row>
    <row r="417" spans="1:34" x14ac:dyDescent="0.2">
      <c r="A417" s="347">
        <f t="shared" ca="1" si="180"/>
        <v>0.1</v>
      </c>
      <c r="B417" s="304">
        <f t="shared" ca="1" si="181"/>
        <v>9.2999999999999101</v>
      </c>
      <c r="D417" s="306">
        <f t="shared" ca="1" si="182"/>
        <v>-3.7191530169638809</v>
      </c>
      <c r="E417" s="307">
        <f t="shared" ca="1" si="183"/>
        <v>-32.274150243060205</v>
      </c>
      <c r="F417" s="304">
        <f t="shared" ca="1" si="184"/>
        <v>32.487734194234207</v>
      </c>
      <c r="G417" s="306">
        <f t="shared" ca="1" si="185"/>
        <v>44.697740115182143</v>
      </c>
      <c r="H417" s="307">
        <f t="shared" ca="1" si="186"/>
        <v>268.99895105143668</v>
      </c>
      <c r="I417" s="304">
        <f t="shared" ca="1" si="187"/>
        <v>272.68722676021622</v>
      </c>
      <c r="J417" s="306">
        <f t="shared" ca="1" si="188"/>
        <v>271.42334160894427</v>
      </c>
      <c r="K417" s="307">
        <f t="shared" ca="1" si="189"/>
        <v>1843.1652991101125</v>
      </c>
      <c r="L417" s="304">
        <f t="shared" ca="1" si="174"/>
        <v>1863.042927635817</v>
      </c>
      <c r="M417" s="306">
        <f t="shared" ca="1" si="190"/>
        <v>1.4061374995553024</v>
      </c>
      <c r="N417" s="304">
        <f t="shared" ca="1" si="191"/>
        <v>80.565744139597498</v>
      </c>
      <c r="P417" s="310">
        <f t="shared" ca="1" si="192"/>
        <v>23</v>
      </c>
      <c r="Q417" s="304">
        <f t="shared" ca="1" si="193"/>
        <v>0</v>
      </c>
      <c r="R417" s="306">
        <f t="shared" ca="1" si="194"/>
        <v>0</v>
      </c>
      <c r="S417" s="307">
        <f t="shared" ca="1" si="195"/>
        <v>5.6519999999999806</v>
      </c>
      <c r="T417" s="304">
        <f t="shared" ca="1" si="175"/>
        <v>55.446119999999816</v>
      </c>
      <c r="U417" s="311">
        <f t="shared" ca="1" si="176"/>
        <v>0</v>
      </c>
      <c r="V417" s="306">
        <f t="shared" ca="1" si="177"/>
        <v>1.0182646243809848</v>
      </c>
      <c r="W417" s="304">
        <f t="shared" ca="1" si="178"/>
        <v>125.34421950603006</v>
      </c>
      <c r="Y417" s="314" t="str">
        <f t="shared" ca="1" si="196"/>
        <v/>
      </c>
      <c r="Z417" s="315" t="str">
        <f t="shared" ca="1" si="197"/>
        <v/>
      </c>
      <c r="AA417" s="316" t="str">
        <f t="shared" ca="1" si="198"/>
        <v/>
      </c>
      <c r="AC417" s="310" t="e">
        <f t="shared" ca="1" si="199"/>
        <v>#N/A</v>
      </c>
      <c r="AD417" s="323" t="e">
        <f t="shared" ca="1" si="200"/>
        <v>#N/A</v>
      </c>
      <c r="AE417" s="324">
        <f t="shared" ca="1" si="179"/>
        <v>1843.1652991101125</v>
      </c>
      <c r="AG417" s="306">
        <f t="shared" ca="1" si="201"/>
        <v>-32.448195958271</v>
      </c>
      <c r="AH417" s="304">
        <f t="shared" ca="1" si="202"/>
        <v>-22.769939510380205</v>
      </c>
    </row>
    <row r="418" spans="1:34" x14ac:dyDescent="0.2">
      <c r="A418" s="347">
        <f t="shared" ca="1" si="180"/>
        <v>0.1</v>
      </c>
      <c r="B418" s="304">
        <f t="shared" ca="1" si="181"/>
        <v>9.3999999999999098</v>
      </c>
      <c r="D418" s="306">
        <f t="shared" ca="1" si="182"/>
        <v>-3.6351549549163704</v>
      </c>
      <c r="E418" s="307">
        <f t="shared" ca="1" si="183"/>
        <v>-31.687009156661972</v>
      </c>
      <c r="F418" s="304">
        <f t="shared" ca="1" si="184"/>
        <v>31.894841288845328</v>
      </c>
      <c r="G418" s="306">
        <f t="shared" ca="1" si="185"/>
        <v>44.334224619690502</v>
      </c>
      <c r="H418" s="307">
        <f t="shared" ca="1" si="186"/>
        <v>265.83025013577048</v>
      </c>
      <c r="I418" s="304">
        <f t="shared" ca="1" si="187"/>
        <v>269.50184667247731</v>
      </c>
      <c r="J418" s="306">
        <f t="shared" ca="1" si="188"/>
        <v>275.87493984568789</v>
      </c>
      <c r="K418" s="307">
        <f t="shared" ca="1" si="189"/>
        <v>1869.9067591694729</v>
      </c>
      <c r="L418" s="304">
        <f t="shared" ca="1" si="174"/>
        <v>1890.14768481792</v>
      </c>
      <c r="M418" s="306">
        <f t="shared" ca="1" si="190"/>
        <v>1.4055408379961112</v>
      </c>
      <c r="N418" s="304">
        <f t="shared" ca="1" si="191"/>
        <v>80.531557950458151</v>
      </c>
      <c r="P418" s="310">
        <f t="shared" ca="1" si="192"/>
        <v>23</v>
      </c>
      <c r="Q418" s="304">
        <f t="shared" ca="1" si="193"/>
        <v>0</v>
      </c>
      <c r="R418" s="306">
        <f t="shared" ca="1" si="194"/>
        <v>0</v>
      </c>
      <c r="S418" s="307">
        <f t="shared" ca="1" si="195"/>
        <v>5.6519999999999806</v>
      </c>
      <c r="T418" s="304">
        <f t="shared" ca="1" si="175"/>
        <v>55.446119999999816</v>
      </c>
      <c r="U418" s="311">
        <f t="shared" ca="1" si="176"/>
        <v>0</v>
      </c>
      <c r="V418" s="306">
        <f t="shared" ca="1" si="177"/>
        <v>1.0155216693233315</v>
      </c>
      <c r="W418" s="304">
        <f t="shared" ca="1" si="178"/>
        <v>122.10311671999013</v>
      </c>
      <c r="Y418" s="314" t="str">
        <f t="shared" ca="1" si="196"/>
        <v/>
      </c>
      <c r="Z418" s="315" t="str">
        <f t="shared" ca="1" si="197"/>
        <v/>
      </c>
      <c r="AA418" s="316" t="str">
        <f t="shared" ca="1" si="198"/>
        <v/>
      </c>
      <c r="AC418" s="310" t="e">
        <f t="shared" ca="1" si="199"/>
        <v>#N/A</v>
      </c>
      <c r="AD418" s="323" t="e">
        <f t="shared" ca="1" si="200"/>
        <v>#N/A</v>
      </c>
      <c r="AE418" s="324">
        <f t="shared" ca="1" si="179"/>
        <v>1869.9067591694729</v>
      </c>
      <c r="AG418" s="306">
        <f t="shared" ca="1" si="201"/>
        <v>-31.854280597421411</v>
      </c>
      <c r="AH418" s="304">
        <f t="shared" ca="1" si="202"/>
        <v>-22.176967357754865</v>
      </c>
    </row>
    <row r="419" spans="1:34" x14ac:dyDescent="0.2">
      <c r="A419" s="347">
        <f t="shared" ca="1" si="180"/>
        <v>0.1</v>
      </c>
      <c r="B419" s="304">
        <f t="shared" ca="1" si="181"/>
        <v>9.4999999999999094</v>
      </c>
      <c r="D419" s="306">
        <f t="shared" ca="1" si="182"/>
        <v>-3.5538735268020369</v>
      </c>
      <c r="E419" s="307">
        <f t="shared" ca="1" si="183"/>
        <v>-31.119205172409615</v>
      </c>
      <c r="F419" s="304">
        <f t="shared" ca="1" si="184"/>
        <v>31.321477417373366</v>
      </c>
      <c r="G419" s="306">
        <f t="shared" ca="1" si="185"/>
        <v>43.978837267010299</v>
      </c>
      <c r="H419" s="307">
        <f t="shared" ca="1" si="186"/>
        <v>262.71832961852954</v>
      </c>
      <c r="I419" s="304">
        <f t="shared" ca="1" si="187"/>
        <v>266.3739079656799</v>
      </c>
      <c r="J419" s="306">
        <f t="shared" ca="1" si="188"/>
        <v>280.29059294002292</v>
      </c>
      <c r="K419" s="307">
        <f t="shared" ca="1" si="189"/>
        <v>1896.334188157188</v>
      </c>
      <c r="L419" s="304">
        <f t="shared" ca="1" si="174"/>
        <v>1916.9366629245867</v>
      </c>
      <c r="M419" s="306">
        <f t="shared" ca="1" si="190"/>
        <v>1.4049350024883196</v>
      </c>
      <c r="N419" s="304">
        <f t="shared" ca="1" si="191"/>
        <v>80.496846132782522</v>
      </c>
      <c r="P419" s="310">
        <f t="shared" ca="1" si="192"/>
        <v>23</v>
      </c>
      <c r="Q419" s="304">
        <f t="shared" ca="1" si="193"/>
        <v>0</v>
      </c>
      <c r="R419" s="306">
        <f t="shared" ca="1" si="194"/>
        <v>0</v>
      </c>
      <c r="S419" s="307">
        <f t="shared" ca="1" si="195"/>
        <v>5.6519999999999806</v>
      </c>
      <c r="T419" s="304">
        <f t="shared" ca="1" si="175"/>
        <v>55.446119999999816</v>
      </c>
      <c r="U419" s="311">
        <f t="shared" ca="1" si="176"/>
        <v>0</v>
      </c>
      <c r="V419" s="306">
        <f t="shared" ca="1" si="177"/>
        <v>1.012817507667656</v>
      </c>
      <c r="W419" s="304">
        <f t="shared" ca="1" si="178"/>
        <v>118.96758029961261</v>
      </c>
      <c r="Y419" s="314" t="str">
        <f t="shared" ca="1" si="196"/>
        <v/>
      </c>
      <c r="Z419" s="315" t="str">
        <f t="shared" ca="1" si="197"/>
        <v/>
      </c>
      <c r="AA419" s="316" t="str">
        <f t="shared" ca="1" si="198"/>
        <v/>
      </c>
      <c r="AC419" s="310" t="e">
        <f t="shared" ca="1" si="199"/>
        <v>#N/A</v>
      </c>
      <c r="AD419" s="323" t="e">
        <f t="shared" ca="1" si="200"/>
        <v>#N/A</v>
      </c>
      <c r="AE419" s="324">
        <f t="shared" ca="1" si="179"/>
        <v>1896.334188157188</v>
      </c>
      <c r="AG419" s="306">
        <f t="shared" ca="1" si="201"/>
        <v>-31.279875912910132</v>
      </c>
      <c r="AH419" s="304">
        <f t="shared" ca="1" si="202"/>
        <v>-21.603523835808659</v>
      </c>
    </row>
    <row r="420" spans="1:34" x14ac:dyDescent="0.2">
      <c r="A420" s="347">
        <f t="shared" ca="1" si="180"/>
        <v>0.1</v>
      </c>
      <c r="B420" s="304">
        <f t="shared" ca="1" si="181"/>
        <v>9.5999999999999091</v>
      </c>
      <c r="D420" s="306">
        <f t="shared" ca="1" si="182"/>
        <v>-3.4751898580267566</v>
      </c>
      <c r="E420" s="307">
        <f t="shared" ca="1" si="183"/>
        <v>-30.569895698581988</v>
      </c>
      <c r="F420" s="304">
        <f t="shared" ca="1" si="184"/>
        <v>30.766791635975199</v>
      </c>
      <c r="G420" s="306">
        <f t="shared" ca="1" si="185"/>
        <v>43.631318281207626</v>
      </c>
      <c r="H420" s="307">
        <f t="shared" ca="1" si="186"/>
        <v>259.66134004867132</v>
      </c>
      <c r="I420" s="304">
        <f t="shared" ca="1" si="187"/>
        <v>263.30154471789143</v>
      </c>
      <c r="J420" s="306">
        <f t="shared" ca="1" si="188"/>
        <v>284.67110071743383</v>
      </c>
      <c r="K420" s="307">
        <f t="shared" ca="1" si="189"/>
        <v>1922.4531716405481</v>
      </c>
      <c r="L420" s="304">
        <f t="shared" ca="1" si="174"/>
        <v>1943.4155069707761</v>
      </c>
      <c r="M420" s="306">
        <f t="shared" ca="1" si="190"/>
        <v>1.4043198713829319</v>
      </c>
      <c r="N420" s="304">
        <f t="shared" ca="1" si="191"/>
        <v>80.46160171659659</v>
      </c>
      <c r="P420" s="310">
        <f t="shared" ca="1" si="192"/>
        <v>23</v>
      </c>
      <c r="Q420" s="304">
        <f t="shared" ca="1" si="193"/>
        <v>0</v>
      </c>
      <c r="R420" s="306">
        <f t="shared" ca="1" si="194"/>
        <v>0</v>
      </c>
      <c r="S420" s="307">
        <f t="shared" ca="1" si="195"/>
        <v>5.6519999999999806</v>
      </c>
      <c r="T420" s="304">
        <f t="shared" ca="1" si="175"/>
        <v>55.446119999999816</v>
      </c>
      <c r="U420" s="311">
        <f t="shared" ca="1" si="176"/>
        <v>0</v>
      </c>
      <c r="V420" s="306">
        <f t="shared" ca="1" si="177"/>
        <v>1.0101513134208753</v>
      </c>
      <c r="W420" s="304">
        <f t="shared" ca="1" si="178"/>
        <v>115.9330631417444</v>
      </c>
      <c r="Y420" s="314" t="str">
        <f t="shared" ca="1" si="196"/>
        <v/>
      </c>
      <c r="Z420" s="315" t="str">
        <f t="shared" ca="1" si="197"/>
        <v/>
      </c>
      <c r="AA420" s="316" t="str">
        <f t="shared" ca="1" si="198"/>
        <v/>
      </c>
      <c r="AC420" s="310" t="e">
        <f t="shared" ca="1" si="199"/>
        <v>#N/A</v>
      </c>
      <c r="AD420" s="323" t="e">
        <f t="shared" ca="1" si="200"/>
        <v>#N/A</v>
      </c>
      <c r="AE420" s="324">
        <f t="shared" ca="1" si="179"/>
        <v>1922.4531716405481</v>
      </c>
      <c r="AG420" s="306">
        <f t="shared" ca="1" si="201"/>
        <v>-30.724130626325113</v>
      </c>
      <c r="AH420" s="304">
        <f t="shared" ca="1" si="202"/>
        <v>-21.048758014793528</v>
      </c>
    </row>
    <row r="421" spans="1:34" x14ac:dyDescent="0.2">
      <c r="A421" s="347">
        <f t="shared" ca="1" si="180"/>
        <v>0.1</v>
      </c>
      <c r="B421" s="304">
        <f t="shared" ca="1" si="181"/>
        <v>9.6999999999999087</v>
      </c>
      <c r="D421" s="306">
        <f t="shared" ca="1" si="182"/>
        <v>-3.3989915554916523</v>
      </c>
      <c r="E421" s="307">
        <f t="shared" ca="1" si="183"/>
        <v>-30.038284106034411</v>
      </c>
      <c r="F421" s="304">
        <f t="shared" ca="1" si="184"/>
        <v>30.229979418271906</v>
      </c>
      <c r="G421" s="306">
        <f t="shared" ca="1" si="185"/>
        <v>43.291419125658464</v>
      </c>
      <c r="H421" s="307">
        <f t="shared" ca="1" si="186"/>
        <v>256.65751163806789</v>
      </c>
      <c r="I421" s="304">
        <f t="shared" ca="1" si="187"/>
        <v>260.28297149479141</v>
      </c>
      <c r="J421" s="306">
        <f t="shared" ca="1" si="188"/>
        <v>289.01723758777712</v>
      </c>
      <c r="K421" s="307">
        <f t="shared" ca="1" si="189"/>
        <v>1948.269114224885</v>
      </c>
      <c r="L421" s="304">
        <f t="shared" ca="1" si="174"/>
        <v>1969.5896793661079</v>
      </c>
      <c r="M421" s="306">
        <f t="shared" ca="1" si="190"/>
        <v>1.4036953199523954</v>
      </c>
      <c r="N421" s="304">
        <f t="shared" ca="1" si="191"/>
        <v>80.425817555537989</v>
      </c>
      <c r="P421" s="310">
        <f t="shared" ca="1" si="192"/>
        <v>23</v>
      </c>
      <c r="Q421" s="304">
        <f t="shared" ca="1" si="193"/>
        <v>0</v>
      </c>
      <c r="R421" s="306">
        <f t="shared" ca="1" si="194"/>
        <v>0</v>
      </c>
      <c r="S421" s="307">
        <f t="shared" ca="1" si="195"/>
        <v>5.6519999999999806</v>
      </c>
      <c r="T421" s="304">
        <f t="shared" ca="1" si="175"/>
        <v>55.446119999999816</v>
      </c>
      <c r="U421" s="311">
        <f t="shared" ca="1" si="176"/>
        <v>0</v>
      </c>
      <c r="V421" s="306">
        <f t="shared" ca="1" si="177"/>
        <v>1.0075222888871282</v>
      </c>
      <c r="W421" s="304">
        <f t="shared" ca="1" si="178"/>
        <v>112.99526340081444</v>
      </c>
      <c r="Y421" s="314" t="str">
        <f t="shared" ca="1" si="196"/>
        <v/>
      </c>
      <c r="Z421" s="315" t="str">
        <f t="shared" ca="1" si="197"/>
        <v/>
      </c>
      <c r="AA421" s="316" t="str">
        <f t="shared" ca="1" si="198"/>
        <v/>
      </c>
      <c r="AC421" s="310" t="e">
        <f t="shared" ca="1" si="199"/>
        <v>#N/A</v>
      </c>
      <c r="AD421" s="323" t="e">
        <f t="shared" ca="1" si="200"/>
        <v>#N/A</v>
      </c>
      <c r="AE421" s="324">
        <f t="shared" ca="1" si="179"/>
        <v>1948.269114224885</v>
      </c>
      <c r="AG421" s="306">
        <f t="shared" ca="1" si="201"/>
        <v>-30.186239866705648</v>
      </c>
      <c r="AH421" s="304">
        <f t="shared" ca="1" si="202"/>
        <v>-20.511865382474308</v>
      </c>
    </row>
    <row r="422" spans="1:34" x14ac:dyDescent="0.2">
      <c r="A422" s="347">
        <f t="shared" ca="1" si="180"/>
        <v>0.1</v>
      </c>
      <c r="B422" s="304">
        <f t="shared" ca="1" si="181"/>
        <v>9.7999999999999083</v>
      </c>
      <c r="D422" s="306">
        <f t="shared" ca="1" si="182"/>
        <v>-3.3251722852014316</v>
      </c>
      <c r="E422" s="307">
        <f t="shared" ca="1" si="183"/>
        <v>-29.523616733387378</v>
      </c>
      <c r="F422" s="304">
        <f t="shared" ca="1" si="184"/>
        <v>29.710279630899183</v>
      </c>
      <c r="G422" s="306">
        <f t="shared" ca="1" si="185"/>
        <v>42.958901897138318</v>
      </c>
      <c r="H422" s="307">
        <f t="shared" ca="1" si="186"/>
        <v>253.70514996472915</v>
      </c>
      <c r="I422" s="304">
        <f t="shared" ca="1" si="187"/>
        <v>257.31647901141827</v>
      </c>
      <c r="J422" s="306">
        <f t="shared" ca="1" si="188"/>
        <v>293.32975363891694</v>
      </c>
      <c r="K422" s="307">
        <f t="shared" ca="1" si="189"/>
        <v>1973.7872473050249</v>
      </c>
      <c r="L422" s="304">
        <f t="shared" ca="1" si="174"/>
        <v>1995.4644677352226</v>
      </c>
      <c r="M422" s="306">
        <f t="shared" ca="1" si="190"/>
        <v>1.403061220318035</v>
      </c>
      <c r="N422" s="304">
        <f t="shared" ca="1" si="191"/>
        <v>80.38948632269836</v>
      </c>
      <c r="P422" s="310">
        <f t="shared" ca="1" si="192"/>
        <v>23</v>
      </c>
      <c r="Q422" s="304">
        <f t="shared" ca="1" si="193"/>
        <v>0</v>
      </c>
      <c r="R422" s="306">
        <f t="shared" ca="1" si="194"/>
        <v>0</v>
      </c>
      <c r="S422" s="307">
        <f t="shared" ca="1" si="195"/>
        <v>5.6519999999999806</v>
      </c>
      <c r="T422" s="304">
        <f t="shared" ca="1" si="175"/>
        <v>55.446119999999816</v>
      </c>
      <c r="U422" s="311">
        <f t="shared" ca="1" si="176"/>
        <v>0</v>
      </c>
      <c r="V422" s="306">
        <f t="shared" ca="1" si="177"/>
        <v>1.004929663399722</v>
      </c>
      <c r="W422" s="304">
        <f t="shared" ca="1" si="178"/>
        <v>110.15010868645626</v>
      </c>
      <c r="Y422" s="314" t="str">
        <f t="shared" ca="1" si="196"/>
        <v/>
      </c>
      <c r="Z422" s="315" t="str">
        <f t="shared" ca="1" si="197"/>
        <v/>
      </c>
      <c r="AA422" s="316" t="str">
        <f t="shared" ca="1" si="198"/>
        <v/>
      </c>
      <c r="AC422" s="310" t="e">
        <f t="shared" ca="1" si="199"/>
        <v>#N/A</v>
      </c>
      <c r="AD422" s="323" t="e">
        <f t="shared" ca="1" si="200"/>
        <v>#N/A</v>
      </c>
      <c r="AE422" s="324">
        <f t="shared" ca="1" si="179"/>
        <v>1973.7872473050249</v>
      </c>
      <c r="AG422" s="306">
        <f t="shared" ca="1" si="201"/>
        <v>-29.665442145781796</v>
      </c>
      <c r="AH422" s="304">
        <f t="shared" ca="1" si="202"/>
        <v>-19.992084819677075</v>
      </c>
    </row>
    <row r="423" spans="1:34" x14ac:dyDescent="0.2">
      <c r="A423" s="347">
        <f t="shared" ca="1" si="180"/>
        <v>0.1</v>
      </c>
      <c r="B423" s="304">
        <f t="shared" ca="1" si="181"/>
        <v>9.899999999999908</v>
      </c>
      <c r="D423" s="306">
        <f t="shared" ca="1" si="182"/>
        <v>-3.2536313817940412</v>
      </c>
      <c r="E423" s="307">
        <f t="shared" ca="1" si="183"/>
        <v>-29.025180118535431</v>
      </c>
      <c r="F423" s="304">
        <f t="shared" ca="1" si="184"/>
        <v>29.206971737618048</v>
      </c>
      <c r="G423" s="306">
        <f t="shared" ca="1" si="185"/>
        <v>42.633538758958913</v>
      </c>
      <c r="H423" s="307">
        <f t="shared" ca="1" si="186"/>
        <v>250.8026319528756</v>
      </c>
      <c r="I423" s="304">
        <f t="shared" ca="1" si="187"/>
        <v>254.40043007353825</v>
      </c>
      <c r="J423" s="306">
        <f t="shared" ca="1" si="188"/>
        <v>297.60937567172181</v>
      </c>
      <c r="K423" s="307">
        <f t="shared" ca="1" si="189"/>
        <v>1999.0126364009052</v>
      </c>
      <c r="L423" s="304">
        <f t="shared" ca="1" si="174"/>
        <v>2021.0449923191245</v>
      </c>
      <c r="M423" s="306">
        <f t="shared" ca="1" si="190"/>
        <v>1.4024174413748236</v>
      </c>
      <c r="N423" s="304">
        <f t="shared" ca="1" si="191"/>
        <v>80.352600506312953</v>
      </c>
      <c r="P423" s="310">
        <f t="shared" ca="1" si="192"/>
        <v>23</v>
      </c>
      <c r="Q423" s="304">
        <f t="shared" ca="1" si="193"/>
        <v>0</v>
      </c>
      <c r="R423" s="306">
        <f t="shared" ca="1" si="194"/>
        <v>0</v>
      </c>
      <c r="S423" s="307">
        <f t="shared" ca="1" si="195"/>
        <v>5.6519999999999806</v>
      </c>
      <c r="T423" s="304">
        <f t="shared" ca="1" si="175"/>
        <v>55.446119999999816</v>
      </c>
      <c r="U423" s="311">
        <f t="shared" ca="1" si="176"/>
        <v>0</v>
      </c>
      <c r="V423" s="306">
        <f t="shared" ca="1" si="177"/>
        <v>1.0023726921235374</v>
      </c>
      <c r="W423" s="304">
        <f t="shared" ca="1" si="178"/>
        <v>107.39374144217335</v>
      </c>
      <c r="Y423" s="314" t="str">
        <f t="shared" ca="1" si="196"/>
        <v/>
      </c>
      <c r="Z423" s="315" t="str">
        <f t="shared" ca="1" si="197"/>
        <v/>
      </c>
      <c r="AA423" s="316" t="str">
        <f t="shared" ca="1" si="198"/>
        <v/>
      </c>
      <c r="AC423" s="310" t="e">
        <f t="shared" ca="1" si="199"/>
        <v>#N/A</v>
      </c>
      <c r="AD423" s="323" t="e">
        <f t="shared" ca="1" si="200"/>
        <v>#N/A</v>
      </c>
      <c r="AE423" s="324">
        <f t="shared" ca="1" si="179"/>
        <v>1999.0126364009052</v>
      </c>
      <c r="AG423" s="306">
        <f t="shared" ca="1" si="201"/>
        <v>-29.161016561761983</v>
      </c>
      <c r="AH423" s="304">
        <f t="shared" ca="1" si="202"/>
        <v>-19.48869580439785</v>
      </c>
    </row>
    <row r="424" spans="1:34" x14ac:dyDescent="0.2">
      <c r="A424" s="347">
        <f t="shared" ca="1" si="180"/>
        <v>0.1</v>
      </c>
      <c r="B424" s="304">
        <f t="shared" ca="1" si="181"/>
        <v>9.9999999999999076</v>
      </c>
      <c r="D424" s="306">
        <f t="shared" ca="1" si="182"/>
        <v>-3.1842734872542646</v>
      </c>
      <c r="E424" s="307">
        <f t="shared" ca="1" si="183"/>
        <v>-28.542298437068176</v>
      </c>
      <c r="F424" s="304">
        <f t="shared" ca="1" si="184"/>
        <v>28.719373212385655</v>
      </c>
      <c r="G424" s="306">
        <f t="shared" ca="1" si="185"/>
        <v>42.315111410233484</v>
      </c>
      <c r="H424" s="307">
        <f t="shared" ca="1" si="186"/>
        <v>247.9484021091688</v>
      </c>
      <c r="I424" s="304">
        <f t="shared" ca="1" si="187"/>
        <v>251.53325577774112</v>
      </c>
      <c r="J424" s="306">
        <f t="shared" ca="1" si="188"/>
        <v>301.85680818018142</v>
      </c>
      <c r="K424" s="307">
        <f t="shared" ca="1" si="189"/>
        <v>2023.9501881040073</v>
      </c>
      <c r="L424" s="304">
        <f t="shared" ca="1" si="174"/>
        <v>2046.3362129843115</v>
      </c>
      <c r="M424" s="306">
        <f t="shared" ca="1" si="190"/>
        <v>1.4017638487134061</v>
      </c>
      <c r="N424" s="304">
        <f t="shared" ca="1" si="191"/>
        <v>80.315152405293006</v>
      </c>
      <c r="P424" s="310">
        <f t="shared" ca="1" si="192"/>
        <v>23</v>
      </c>
      <c r="Q424" s="304">
        <f t="shared" ca="1" si="193"/>
        <v>0</v>
      </c>
      <c r="R424" s="306">
        <f t="shared" ca="1" si="194"/>
        <v>0</v>
      </c>
      <c r="S424" s="307">
        <f t="shared" ca="1" si="195"/>
        <v>5.6519999999999806</v>
      </c>
      <c r="T424" s="304">
        <f t="shared" ca="1" si="175"/>
        <v>55.446119999999816</v>
      </c>
      <c r="U424" s="311">
        <f t="shared" ca="1" si="176"/>
        <v>0</v>
      </c>
      <c r="V424" s="306">
        <f t="shared" ca="1" si="177"/>
        <v>0.99985065492323921</v>
      </c>
      <c r="W424" s="304">
        <f t="shared" ca="1" si="178"/>
        <v>104.72250540486941</v>
      </c>
      <c r="Y424" s="314" t="str">
        <f t="shared" ca="1" si="196"/>
        <v/>
      </c>
      <c r="Z424" s="315" t="str">
        <f t="shared" ca="1" si="197"/>
        <v/>
      </c>
      <c r="AA424" s="316" t="str">
        <f t="shared" ca="1" si="198"/>
        <v/>
      </c>
      <c r="AC424" s="310">
        <f t="shared" ca="1" si="199"/>
        <v>9.9999999999999076</v>
      </c>
      <c r="AD424" s="323">
        <f t="shared" ca="1" si="200"/>
        <v>301.85680818018142</v>
      </c>
      <c r="AE424" s="324">
        <f t="shared" ca="1" si="179"/>
        <v>2023.9501881040073</v>
      </c>
      <c r="AG424" s="306">
        <f t="shared" ca="1" si="201"/>
        <v>-28.672280212068102</v>
      </c>
      <c r="AH424" s="304">
        <f t="shared" ca="1" si="202"/>
        <v>-19.001015824871502</v>
      </c>
    </row>
    <row r="425" spans="1:34" x14ac:dyDescent="0.2">
      <c r="A425" s="347">
        <f t="shared" ca="1" si="180"/>
        <v>0.1</v>
      </c>
      <c r="B425" s="304">
        <f t="shared" ca="1" si="181"/>
        <v>10.099999999999907</v>
      </c>
      <c r="D425" s="306">
        <f t="shared" ca="1" si="182"/>
        <v>-3.1170082163356585</v>
      </c>
      <c r="E425" s="307">
        <f t="shared" ca="1" si="183"/>
        <v>-28.074331130052734</v>
      </c>
      <c r="F425" s="304">
        <f t="shared" ca="1" si="184"/>
        <v>28.246837143661804</v>
      </c>
      <c r="G425" s="306">
        <f t="shared" ca="1" si="185"/>
        <v>42.00341058859992</v>
      </c>
      <c r="H425" s="307">
        <f t="shared" ca="1" si="186"/>
        <v>245.14096899616354</v>
      </c>
      <c r="I425" s="304">
        <f t="shared" ca="1" si="187"/>
        <v>248.713451951141</v>
      </c>
      <c r="J425" s="306">
        <f t="shared" ca="1" si="188"/>
        <v>306.07273428012309</v>
      </c>
      <c r="K425" s="307">
        <f t="shared" ca="1" si="189"/>
        <v>2048.604656659274</v>
      </c>
      <c r="L425" s="304">
        <f t="shared" ca="1" si="174"/>
        <v>2071.3429358645017</v>
      </c>
      <c r="M425" s="306">
        <f t="shared" ca="1" si="190"/>
        <v>1.4011003045392847</v>
      </c>
      <c r="N425" s="304">
        <f t="shared" ca="1" si="191"/>
        <v>80.277134124595349</v>
      </c>
      <c r="P425" s="310">
        <f t="shared" ca="1" si="192"/>
        <v>23</v>
      </c>
      <c r="Q425" s="304">
        <f t="shared" ca="1" si="193"/>
        <v>0</v>
      </c>
      <c r="R425" s="306">
        <f t="shared" ca="1" si="194"/>
        <v>0</v>
      </c>
      <c r="S425" s="307">
        <f t="shared" ca="1" si="195"/>
        <v>5.6519999999999806</v>
      </c>
      <c r="T425" s="304">
        <f t="shared" ca="1" si="175"/>
        <v>55.446119999999816</v>
      </c>
      <c r="U425" s="311">
        <f t="shared" ca="1" si="176"/>
        <v>0</v>
      </c>
      <c r="V425" s="306">
        <f t="shared" ca="1" si="177"/>
        <v>0.99736285529300728</v>
      </c>
      <c r="W425" s="304">
        <f t="shared" ca="1" si="178"/>
        <v>102.13293305455403</v>
      </c>
      <c r="Y425" s="314" t="str">
        <f t="shared" ca="1" si="196"/>
        <v/>
      </c>
      <c r="Z425" s="315" t="str">
        <f t="shared" ca="1" si="197"/>
        <v/>
      </c>
      <c r="AA425" s="316" t="str">
        <f t="shared" ca="1" si="198"/>
        <v/>
      </c>
      <c r="AC425" s="310" t="e">
        <f t="shared" ca="1" si="199"/>
        <v>#N/A</v>
      </c>
      <c r="AD425" s="323" t="e">
        <f t="shared" ca="1" si="200"/>
        <v>#N/A</v>
      </c>
      <c r="AE425" s="324">
        <f t="shared" ca="1" si="179"/>
        <v>2048.604656659274</v>
      </c>
      <c r="AG425" s="306">
        <f t="shared" ca="1" si="201"/>
        <v>-28.198585797293198</v>
      </c>
      <c r="AH425" s="304">
        <f t="shared" ca="1" si="202"/>
        <v>-18.528397983876463</v>
      </c>
    </row>
    <row r="426" spans="1:34" x14ac:dyDescent="0.2">
      <c r="A426" s="347">
        <f t="shared" ca="1" si="180"/>
        <v>0.1</v>
      </c>
      <c r="B426" s="304">
        <f t="shared" ca="1" si="181"/>
        <v>10.199999999999907</v>
      </c>
      <c r="D426" s="306">
        <f t="shared" ca="1" si="182"/>
        <v>-3.0517498464498924</v>
      </c>
      <c r="E426" s="307">
        <f t="shared" ca="1" si="183"/>
        <v>-27.620670705289413</v>
      </c>
      <c r="F426" s="304">
        <f t="shared" ca="1" si="184"/>
        <v>27.788750013905624</v>
      </c>
      <c r="G426" s="306">
        <f t="shared" ca="1" si="185"/>
        <v>41.698235603954927</v>
      </c>
      <c r="H426" s="307">
        <f t="shared" ca="1" si="186"/>
        <v>242.37890192563461</v>
      </c>
      <c r="I426" s="304">
        <f t="shared" ca="1" si="187"/>
        <v>245.93957581316459</v>
      </c>
      <c r="J426" s="306">
        <f t="shared" ca="1" si="188"/>
        <v>310.2578165897508</v>
      </c>
      <c r="K426" s="307">
        <f t="shared" ca="1" si="189"/>
        <v>2072.9806502053639</v>
      </c>
      <c r="L426" s="304">
        <f t="shared" ca="1" si="174"/>
        <v>2096.0698196579456</v>
      </c>
      <c r="M426" s="306">
        <f t="shared" ca="1" si="190"/>
        <v>1.4004266675890698</v>
      </c>
      <c r="N426" s="304">
        <f t="shared" ca="1" si="191"/>
        <v>80.238537570423972</v>
      </c>
      <c r="P426" s="310">
        <f t="shared" ca="1" si="192"/>
        <v>23</v>
      </c>
      <c r="Q426" s="304">
        <f t="shared" ca="1" si="193"/>
        <v>0</v>
      </c>
      <c r="R426" s="306">
        <f t="shared" ca="1" si="194"/>
        <v>0</v>
      </c>
      <c r="S426" s="307">
        <f t="shared" ca="1" si="195"/>
        <v>5.6519999999999806</v>
      </c>
      <c r="T426" s="304">
        <f t="shared" ca="1" si="175"/>
        <v>55.446119999999816</v>
      </c>
      <c r="U426" s="311">
        <f t="shared" ca="1" si="176"/>
        <v>0</v>
      </c>
      <c r="V426" s="306">
        <f t="shared" ca="1" si="177"/>
        <v>0.99490861934380881</v>
      </c>
      <c r="W426" s="304">
        <f t="shared" ca="1" si="178"/>
        <v>99.621733972029006</v>
      </c>
      <c r="Y426" s="314" t="str">
        <f t="shared" ca="1" si="196"/>
        <v/>
      </c>
      <c r="Z426" s="315" t="str">
        <f t="shared" ca="1" si="197"/>
        <v/>
      </c>
      <c r="AA426" s="316" t="str">
        <f t="shared" ca="1" si="198"/>
        <v/>
      </c>
      <c r="AC426" s="310" t="e">
        <f t="shared" ca="1" si="199"/>
        <v>#N/A</v>
      </c>
      <c r="AD426" s="323" t="e">
        <f t="shared" ca="1" si="200"/>
        <v>#N/A</v>
      </c>
      <c r="AE426" s="324">
        <f t="shared" ca="1" si="179"/>
        <v>2072.9806502053639</v>
      </c>
      <c r="AG426" s="306">
        <f t="shared" ca="1" si="201"/>
        <v>-27.739319400335624</v>
      </c>
      <c r="AH426" s="304">
        <f t="shared" ca="1" si="202"/>
        <v>-18.070228778229719</v>
      </c>
    </row>
    <row r="427" spans="1:34" x14ac:dyDescent="0.2">
      <c r="A427" s="347">
        <f t="shared" ca="1" si="180"/>
        <v>0.1</v>
      </c>
      <c r="B427" s="304">
        <f t="shared" ca="1" si="181"/>
        <v>10.299999999999907</v>
      </c>
      <c r="D427" s="306">
        <f t="shared" ca="1" si="182"/>
        <v>-2.9884170299923878</v>
      </c>
      <c r="E427" s="307">
        <f t="shared" ca="1" si="183"/>
        <v>-27.180740697640481</v>
      </c>
      <c r="F427" s="304">
        <f t="shared" ca="1" si="184"/>
        <v>27.344529639719863</v>
      </c>
      <c r="G427" s="306">
        <f t="shared" ca="1" si="185"/>
        <v>41.399393900955687</v>
      </c>
      <c r="H427" s="307">
        <f t="shared" ca="1" si="186"/>
        <v>239.66082785587056</v>
      </c>
      <c r="I427" s="304">
        <f t="shared" ca="1" si="187"/>
        <v>243.21024284336323</v>
      </c>
      <c r="J427" s="306">
        <f t="shared" ca="1" si="188"/>
        <v>314.41269806499633</v>
      </c>
      <c r="K427" s="307">
        <f t="shared" ca="1" si="189"/>
        <v>2097.0826366944393</v>
      </c>
      <c r="L427" s="304">
        <f t="shared" ca="1" si="174"/>
        <v>2120.5213816016599</v>
      </c>
      <c r="M427" s="306">
        <f t="shared" ca="1" si="190"/>
        <v>1.3997427930436963</v>
      </c>
      <c r="N427" s="304">
        <f t="shared" ca="1" si="191"/>
        <v>80.19935444525764</v>
      </c>
      <c r="P427" s="310">
        <f t="shared" ca="1" si="192"/>
        <v>23</v>
      </c>
      <c r="Q427" s="304">
        <f t="shared" ca="1" si="193"/>
        <v>0</v>
      </c>
      <c r="R427" s="306">
        <f t="shared" ca="1" si="194"/>
        <v>0</v>
      </c>
      <c r="S427" s="307">
        <f t="shared" ca="1" si="195"/>
        <v>5.6519999999999806</v>
      </c>
      <c r="T427" s="304">
        <f t="shared" ca="1" si="175"/>
        <v>55.446119999999816</v>
      </c>
      <c r="U427" s="311">
        <f t="shared" ca="1" si="176"/>
        <v>0</v>
      </c>
      <c r="V427" s="306">
        <f t="shared" ca="1" si="177"/>
        <v>0.9924872948445489</v>
      </c>
      <c r="W427" s="304">
        <f t="shared" ca="1" si="178"/>
        <v>97.185784029979956</v>
      </c>
      <c r="Y427" s="314" t="str">
        <f t="shared" ca="1" si="196"/>
        <v/>
      </c>
      <c r="Z427" s="315" t="str">
        <f t="shared" ca="1" si="197"/>
        <v/>
      </c>
      <c r="AA427" s="316" t="str">
        <f t="shared" ca="1" si="198"/>
        <v/>
      </c>
      <c r="AC427" s="310" t="e">
        <f t="shared" ca="1" si="199"/>
        <v>#N/A</v>
      </c>
      <c r="AD427" s="323" t="e">
        <f t="shared" ca="1" si="200"/>
        <v>#N/A</v>
      </c>
      <c r="AE427" s="324">
        <f t="shared" ca="1" si="179"/>
        <v>2097.0826366944393</v>
      </c>
      <c r="AG427" s="306">
        <f t="shared" ca="1" si="201"/>
        <v>-27.29389842616655</v>
      </c>
      <c r="AH427" s="304">
        <f t="shared" ca="1" si="202"/>
        <v>-17.625926038929467</v>
      </c>
    </row>
    <row r="428" spans="1:34" x14ac:dyDescent="0.2">
      <c r="A428" s="347">
        <f t="shared" ca="1" si="180"/>
        <v>0.1</v>
      </c>
      <c r="B428" s="304">
        <f t="shared" ca="1" si="181"/>
        <v>10.399999999999906</v>
      </c>
      <c r="D428" s="306">
        <f t="shared" ca="1" si="182"/>
        <v>-2.9269325272614437</v>
      </c>
      <c r="E428" s="307">
        <f t="shared" ca="1" si="183"/>
        <v>-26.753993775366844</v>
      </c>
      <c r="F428" s="304">
        <f t="shared" ca="1" si="184"/>
        <v>26.913623259448158</v>
      </c>
      <c r="G428" s="306">
        <f t="shared" ca="1" si="185"/>
        <v>41.106700648229541</v>
      </c>
      <c r="H428" s="307">
        <f t="shared" ca="1" si="186"/>
        <v>236.98542847833389</v>
      </c>
      <c r="I428" s="304">
        <f t="shared" ca="1" si="187"/>
        <v>240.52412384050515</v>
      </c>
      <c r="J428" s="306">
        <f t="shared" ca="1" si="188"/>
        <v>318.53800279245559</v>
      </c>
      <c r="K428" s="307">
        <f t="shared" ca="1" si="189"/>
        <v>2120.9149495111496</v>
      </c>
      <c r="L428" s="304">
        <f t="shared" ca="1" si="174"/>
        <v>2144.702003142369</v>
      </c>
      <c r="M428" s="306">
        <f t="shared" ca="1" si="190"/>
        <v>1.3990485324385025</v>
      </c>
      <c r="N428" s="304">
        <f t="shared" ca="1" si="191"/>
        <v>80.159576242697838</v>
      </c>
      <c r="P428" s="310">
        <f t="shared" ca="1" si="192"/>
        <v>23</v>
      </c>
      <c r="Q428" s="304">
        <f t="shared" ca="1" si="193"/>
        <v>0</v>
      </c>
      <c r="R428" s="306">
        <f t="shared" ca="1" si="194"/>
        <v>0</v>
      </c>
      <c r="S428" s="307">
        <f t="shared" ca="1" si="195"/>
        <v>5.6519999999999806</v>
      </c>
      <c r="T428" s="304">
        <f t="shared" ca="1" si="175"/>
        <v>55.446119999999816</v>
      </c>
      <c r="U428" s="311">
        <f t="shared" ca="1" si="176"/>
        <v>0</v>
      </c>
      <c r="V428" s="306">
        <f t="shared" ca="1" si="177"/>
        <v>0.99009825031368581</v>
      </c>
      <c r="W428" s="304">
        <f t="shared" ca="1" si="178"/>
        <v>94.822115349738453</v>
      </c>
      <c r="Y428" s="314" t="str">
        <f t="shared" ca="1" si="196"/>
        <v/>
      </c>
      <c r="Z428" s="315" t="str">
        <f t="shared" ca="1" si="197"/>
        <v/>
      </c>
      <c r="AA428" s="316" t="str">
        <f t="shared" ca="1" si="198"/>
        <v/>
      </c>
      <c r="AC428" s="310" t="e">
        <f t="shared" ca="1" si="199"/>
        <v>#N/A</v>
      </c>
      <c r="AD428" s="323" t="e">
        <f t="shared" ca="1" si="200"/>
        <v>#N/A</v>
      </c>
      <c r="AE428" s="324">
        <f t="shared" ca="1" si="179"/>
        <v>2120.9149495111496</v>
      </c>
      <c r="AG428" s="306">
        <f t="shared" ca="1" si="201"/>
        <v>-26.861769689035597</v>
      </c>
      <c r="AH428" s="304">
        <f t="shared" ca="1" si="202"/>
        <v>-17.194937018750934</v>
      </c>
    </row>
    <row r="429" spans="1:34" x14ac:dyDescent="0.2">
      <c r="A429" s="347">
        <f t="shared" ca="1" si="180"/>
        <v>0.1</v>
      </c>
      <c r="B429" s="304">
        <f t="shared" ca="1" si="181"/>
        <v>10.499999999999906</v>
      </c>
      <c r="D429" s="306">
        <f t="shared" ca="1" si="182"/>
        <v>-2.8672229582970861</v>
      </c>
      <c r="E429" s="307">
        <f t="shared" ca="1" si="183"/>
        <v>-26.339909980605974</v>
      </c>
      <c r="F429" s="304">
        <f t="shared" ca="1" si="184"/>
        <v>26.495505756241229</v>
      </c>
      <c r="G429" s="306">
        <f t="shared" ca="1" si="185"/>
        <v>40.819978352399829</v>
      </c>
      <c r="H429" s="307">
        <f t="shared" ca="1" si="186"/>
        <v>234.35143748027329</v>
      </c>
      <c r="I429" s="304">
        <f t="shared" ca="1" si="187"/>
        <v>237.87994215940282</v>
      </c>
      <c r="J429" s="306">
        <f t="shared" ca="1" si="188"/>
        <v>322.63433674248705</v>
      </c>
      <c r="K429" s="307">
        <f t="shared" ca="1" si="189"/>
        <v>2144.4817928090802</v>
      </c>
      <c r="L429" s="304">
        <f t="shared" ca="1" si="174"/>
        <v>2168.615935322553</v>
      </c>
      <c r="M429" s="306">
        <f t="shared" ca="1" si="190"/>
        <v>1.3983437335700575</v>
      </c>
      <c r="N429" s="304">
        <f t="shared" ca="1" si="191"/>
        <v>80.119194242130348</v>
      </c>
      <c r="P429" s="310">
        <f t="shared" ca="1" si="192"/>
        <v>23</v>
      </c>
      <c r="Q429" s="304">
        <f t="shared" ca="1" si="193"/>
        <v>0</v>
      </c>
      <c r="R429" s="306">
        <f t="shared" ca="1" si="194"/>
        <v>0</v>
      </c>
      <c r="S429" s="307">
        <f t="shared" ca="1" si="195"/>
        <v>5.6519999999999806</v>
      </c>
      <c r="T429" s="304">
        <f t="shared" ca="1" si="175"/>
        <v>55.446119999999816</v>
      </c>
      <c r="U429" s="311">
        <f t="shared" ca="1" si="176"/>
        <v>0</v>
      </c>
      <c r="V429" s="306">
        <f t="shared" ca="1" si="177"/>
        <v>0.98774087415816791</v>
      </c>
      <c r="W429" s="304">
        <f t="shared" ca="1" si="178"/>
        <v>92.527906962128824</v>
      </c>
      <c r="Y429" s="314" t="str">
        <f t="shared" ca="1" si="196"/>
        <v/>
      </c>
      <c r="Z429" s="315" t="str">
        <f t="shared" ca="1" si="197"/>
        <v/>
      </c>
      <c r="AA429" s="316" t="str">
        <f t="shared" ca="1" si="198"/>
        <v/>
      </c>
      <c r="AC429" s="310" t="e">
        <f t="shared" ca="1" si="199"/>
        <v>#N/A</v>
      </c>
      <c r="AD429" s="323" t="e">
        <f t="shared" ca="1" si="200"/>
        <v>#N/A</v>
      </c>
      <c r="AE429" s="324">
        <f t="shared" ca="1" si="179"/>
        <v>2144.4817928090802</v>
      </c>
      <c r="AG429" s="306">
        <f t="shared" ca="1" si="201"/>
        <v>-26.442407635129882</v>
      </c>
      <c r="AH429" s="304">
        <f t="shared" ca="1" si="202"/>
        <v>-16.776736615311179</v>
      </c>
    </row>
    <row r="430" spans="1:34" x14ac:dyDescent="0.2">
      <c r="A430" s="347">
        <f t="shared" ca="1" si="180"/>
        <v>0.1</v>
      </c>
      <c r="B430" s="304">
        <f t="shared" ca="1" si="181"/>
        <v>10.599999999999905</v>
      </c>
      <c r="D430" s="306">
        <f t="shared" ca="1" si="182"/>
        <v>-2.80921857211783</v>
      </c>
      <c r="E430" s="307">
        <f t="shared" ca="1" si="183"/>
        <v>-25.937995093201465</v>
      </c>
      <c r="F430" s="304">
        <f t="shared" ca="1" si="184"/>
        <v>26.089678005695568</v>
      </c>
      <c r="G430" s="306">
        <f t="shared" ca="1" si="185"/>
        <v>40.539056495188049</v>
      </c>
      <c r="H430" s="307">
        <f t="shared" ca="1" si="186"/>
        <v>231.75763797095314</v>
      </c>
      <c r="I430" s="304">
        <f t="shared" ca="1" si="187"/>
        <v>235.27647111301934</v>
      </c>
      <c r="J430" s="306">
        <f t="shared" ca="1" si="188"/>
        <v>326.70228848486647</v>
      </c>
      <c r="K430" s="307">
        <f t="shared" ca="1" si="189"/>
        <v>2167.7872465816413</v>
      </c>
      <c r="L430" s="304">
        <f t="shared" ca="1" si="174"/>
        <v>2192.2673038986973</v>
      </c>
      <c r="M430" s="306">
        <f t="shared" ca="1" si="190"/>
        <v>1.3976282403996267</v>
      </c>
      <c r="N430" s="304">
        <f t="shared" ca="1" si="191"/>
        <v>80.078199503194227</v>
      </c>
      <c r="P430" s="310">
        <f t="shared" ca="1" si="192"/>
        <v>23</v>
      </c>
      <c r="Q430" s="304">
        <f t="shared" ca="1" si="193"/>
        <v>0</v>
      </c>
      <c r="R430" s="306">
        <f t="shared" ca="1" si="194"/>
        <v>0</v>
      </c>
      <c r="S430" s="307">
        <f t="shared" ca="1" si="195"/>
        <v>5.6519999999999806</v>
      </c>
      <c r="T430" s="304">
        <f t="shared" ca="1" si="175"/>
        <v>55.446119999999816</v>
      </c>
      <c r="U430" s="311">
        <f t="shared" ca="1" si="176"/>
        <v>0</v>
      </c>
      <c r="V430" s="306">
        <f t="shared" ca="1" si="177"/>
        <v>0.98541457385675668</v>
      </c>
      <c r="W430" s="304">
        <f t="shared" ca="1" si="178"/>
        <v>90.300476116345919</v>
      </c>
      <c r="Y430" s="314" t="str">
        <f t="shared" ca="1" si="196"/>
        <v/>
      </c>
      <c r="Z430" s="315" t="str">
        <f t="shared" ca="1" si="197"/>
        <v/>
      </c>
      <c r="AA430" s="316" t="str">
        <f t="shared" ca="1" si="198"/>
        <v/>
      </c>
      <c r="AC430" s="310" t="e">
        <f t="shared" ca="1" si="199"/>
        <v>#N/A</v>
      </c>
      <c r="AD430" s="323" t="e">
        <f t="shared" ca="1" si="200"/>
        <v>#N/A</v>
      </c>
      <c r="AE430" s="324">
        <f t="shared" ca="1" si="179"/>
        <v>2167.7872465816413</v>
      </c>
      <c r="AG430" s="306">
        <f t="shared" ca="1" si="201"/>
        <v>-26.035312689789315</v>
      </c>
      <c r="AH430" s="304">
        <f t="shared" ca="1" si="202"/>
        <v>-16.370825718706502</v>
      </c>
    </row>
    <row r="431" spans="1:34" x14ac:dyDescent="0.2">
      <c r="A431" s="347">
        <f t="shared" ca="1" si="180"/>
        <v>0.1</v>
      </c>
      <c r="B431" s="304">
        <f t="shared" ca="1" si="181"/>
        <v>10.699999999999905</v>
      </c>
      <c r="D431" s="306">
        <f t="shared" ca="1" si="182"/>
        <v>-2.7528530319702278</v>
      </c>
      <c r="E431" s="307">
        <f t="shared" ca="1" si="183"/>
        <v>-25.547779108063999</v>
      </c>
      <c r="F431" s="304">
        <f t="shared" ca="1" si="184"/>
        <v>25.695665338147194</v>
      </c>
      <c r="G431" s="306">
        <f t="shared" ca="1" si="185"/>
        <v>40.263771191991026</v>
      </c>
      <c r="H431" s="307">
        <f t="shared" ca="1" si="186"/>
        <v>229.20286006014675</v>
      </c>
      <c r="I431" s="304">
        <f t="shared" ca="1" si="187"/>
        <v>232.71253152839066</v>
      </c>
      <c r="J431" s="306">
        <f t="shared" ca="1" si="188"/>
        <v>330.74242986922542</v>
      </c>
      <c r="K431" s="307">
        <f t="shared" ca="1" si="189"/>
        <v>2190.8352714831963</v>
      </c>
      <c r="L431" s="304">
        <f t="shared" ca="1" si="174"/>
        <v>2215.6601142076483</v>
      </c>
      <c r="M431" s="306">
        <f t="shared" ca="1" si="190"/>
        <v>1.39690189295315</v>
      </c>
      <c r="N431" s="304">
        <f t="shared" ca="1" si="191"/>
        <v>80.036582860051013</v>
      </c>
      <c r="P431" s="310">
        <f t="shared" ca="1" si="192"/>
        <v>23</v>
      </c>
      <c r="Q431" s="304">
        <f t="shared" ca="1" si="193"/>
        <v>0</v>
      </c>
      <c r="R431" s="306">
        <f t="shared" ca="1" si="194"/>
        <v>0</v>
      </c>
      <c r="S431" s="307">
        <f t="shared" ca="1" si="195"/>
        <v>5.6519999999999806</v>
      </c>
      <c r="T431" s="304">
        <f t="shared" ca="1" si="175"/>
        <v>55.446119999999816</v>
      </c>
      <c r="U431" s="311">
        <f t="shared" ca="1" si="176"/>
        <v>0</v>
      </c>
      <c r="V431" s="306">
        <f t="shared" ca="1" si="177"/>
        <v>0.98311877518501922</v>
      </c>
      <c r="W431" s="304">
        <f t="shared" ca="1" si="178"/>
        <v>88.137270185796154</v>
      </c>
      <c r="Y431" s="314" t="str">
        <f t="shared" ca="1" si="196"/>
        <v/>
      </c>
      <c r="Z431" s="315" t="str">
        <f t="shared" ca="1" si="197"/>
        <v/>
      </c>
      <c r="AA431" s="316" t="str">
        <f t="shared" ca="1" si="198"/>
        <v/>
      </c>
      <c r="AC431" s="310" t="e">
        <f t="shared" ca="1" si="199"/>
        <v>#N/A</v>
      </c>
      <c r="AD431" s="323" t="e">
        <f t="shared" ca="1" si="200"/>
        <v>#N/A</v>
      </c>
      <c r="AE431" s="324">
        <f t="shared" ca="1" si="179"/>
        <v>2190.8352714831963</v>
      </c>
      <c r="AG431" s="306">
        <f t="shared" ca="1" si="201"/>
        <v>-25.640009719360123</v>
      </c>
      <c r="AH431" s="304">
        <f t="shared" ca="1" si="202"/>
        <v>-15.976729673805066</v>
      </c>
    </row>
    <row r="432" spans="1:34" x14ac:dyDescent="0.2">
      <c r="A432" s="347">
        <f t="shared" ca="1" si="180"/>
        <v>0.1</v>
      </c>
      <c r="B432" s="304">
        <f t="shared" ca="1" si="181"/>
        <v>10.799999999999905</v>
      </c>
      <c r="D432" s="306">
        <f t="shared" ca="1" si="182"/>
        <v>-2.6980632153293231</v>
      </c>
      <c r="E432" s="307">
        <f t="shared" ca="1" si="183"/>
        <v>-25.168814817116896</v>
      </c>
      <c r="F432" s="304">
        <f t="shared" ca="1" si="184"/>
        <v>25.313016106585092</v>
      </c>
      <c r="G432" s="306">
        <f t="shared" ca="1" si="185"/>
        <v>39.993964870458093</v>
      </c>
      <c r="H432" s="307">
        <f t="shared" ca="1" si="186"/>
        <v>226.68597857843505</v>
      </c>
      <c r="I432" s="304">
        <f t="shared" ca="1" si="187"/>
        <v>230.18698944580285</v>
      </c>
      <c r="J432" s="306">
        <f t="shared" ca="1" si="188"/>
        <v>334.75531667234787</v>
      </c>
      <c r="K432" s="307">
        <f t="shared" ca="1" si="189"/>
        <v>2213.6297134151255</v>
      </c>
      <c r="L432" s="304">
        <f t="shared" ca="1" si="174"/>
        <v>2238.7982557958935</v>
      </c>
      <c r="M432" s="306">
        <f t="shared" ca="1" si="190"/>
        <v>1.3961645272176075</v>
      </c>
      <c r="N432" s="304">
        <f t="shared" ca="1" si="191"/>
        <v>79.994334915446871</v>
      </c>
      <c r="P432" s="310">
        <f t="shared" ca="1" si="192"/>
        <v>23</v>
      </c>
      <c r="Q432" s="304">
        <f t="shared" ca="1" si="193"/>
        <v>0</v>
      </c>
      <c r="R432" s="306">
        <f t="shared" ca="1" si="194"/>
        <v>0</v>
      </c>
      <c r="S432" s="307">
        <f t="shared" ca="1" si="195"/>
        <v>5.6519999999999806</v>
      </c>
      <c r="T432" s="304">
        <f t="shared" ca="1" si="175"/>
        <v>55.446119999999816</v>
      </c>
      <c r="U432" s="311">
        <f t="shared" ca="1" si="176"/>
        <v>0</v>
      </c>
      <c r="V432" s="306">
        <f t="shared" ca="1" si="177"/>
        <v>0.98085292147947389</v>
      </c>
      <c r="W432" s="304">
        <f t="shared" ca="1" si="178"/>
        <v>86.035859124330926</v>
      </c>
      <c r="Y432" s="314" t="str">
        <f t="shared" ca="1" si="196"/>
        <v/>
      </c>
      <c r="Z432" s="315" t="str">
        <f t="shared" ca="1" si="197"/>
        <v/>
      </c>
      <c r="AA432" s="316" t="str">
        <f t="shared" ca="1" si="198"/>
        <v/>
      </c>
      <c r="AC432" s="310" t="e">
        <f t="shared" ca="1" si="199"/>
        <v>#N/A</v>
      </c>
      <c r="AD432" s="323" t="e">
        <f t="shared" ca="1" si="200"/>
        <v>#N/A</v>
      </c>
      <c r="AE432" s="324">
        <f t="shared" ca="1" si="179"/>
        <v>2213.6297134151255</v>
      </c>
      <c r="AG432" s="306">
        <f t="shared" ca="1" si="201"/>
        <v>-25.256046598650418</v>
      </c>
      <c r="AH432" s="304">
        <f t="shared" ca="1" si="202"/>
        <v>-15.593996848159316</v>
      </c>
    </row>
    <row r="433" spans="1:34" x14ac:dyDescent="0.2">
      <c r="A433" s="347">
        <f t="shared" ca="1" si="180"/>
        <v>0.1</v>
      </c>
      <c r="B433" s="304">
        <f t="shared" ca="1" si="181"/>
        <v>10.899999999999904</v>
      </c>
      <c r="D433" s="306">
        <f t="shared" ca="1" si="182"/>
        <v>-2.6447890274992227</v>
      </c>
      <c r="E433" s="307">
        <f t="shared" ca="1" si="183"/>
        <v>-24.800676487667328</v>
      </c>
      <c r="F433" s="304">
        <f t="shared" ca="1" si="184"/>
        <v>24.941300351944673</v>
      </c>
      <c r="G433" s="306">
        <f t="shared" ca="1" si="185"/>
        <v>39.729485967708172</v>
      </c>
      <c r="H433" s="307">
        <f t="shared" ca="1" si="186"/>
        <v>224.20591092966833</v>
      </c>
      <c r="I433" s="304">
        <f t="shared" ca="1" si="187"/>
        <v>227.69875395148892</v>
      </c>
      <c r="J433" s="306">
        <f t="shared" ca="1" si="188"/>
        <v>338.74148921425621</v>
      </c>
      <c r="K433" s="307">
        <f t="shared" ca="1" si="189"/>
        <v>2236.1743078905306</v>
      </c>
      <c r="L433" s="304">
        <f t="shared" ca="1" si="174"/>
        <v>2261.6855068255591</v>
      </c>
      <c r="M433" s="306">
        <f t="shared" ca="1" si="190"/>
        <v>1.3954159750336401</v>
      </c>
      <c r="N433" s="304">
        <f t="shared" ca="1" si="191"/>
        <v>79.951446034560234</v>
      </c>
      <c r="P433" s="310">
        <f t="shared" ca="1" si="192"/>
        <v>23</v>
      </c>
      <c r="Q433" s="304">
        <f t="shared" ca="1" si="193"/>
        <v>0</v>
      </c>
      <c r="R433" s="306">
        <f t="shared" ca="1" si="194"/>
        <v>0</v>
      </c>
      <c r="S433" s="307">
        <f t="shared" ca="1" si="195"/>
        <v>5.6519999999999806</v>
      </c>
      <c r="T433" s="304">
        <f t="shared" ca="1" si="175"/>
        <v>55.446119999999816</v>
      </c>
      <c r="U433" s="311">
        <f t="shared" ca="1" si="176"/>
        <v>0</v>
      </c>
      <c r="V433" s="306">
        <f t="shared" ca="1" si="177"/>
        <v>0.97861647293852605</v>
      </c>
      <c r="W433" s="304">
        <f t="shared" ca="1" si="178"/>
        <v>83.993928430358665</v>
      </c>
      <c r="Y433" s="314" t="str">
        <f t="shared" ca="1" si="196"/>
        <v/>
      </c>
      <c r="Z433" s="315" t="str">
        <f t="shared" ca="1" si="197"/>
        <v/>
      </c>
      <c r="AA433" s="316" t="str">
        <f t="shared" ca="1" si="198"/>
        <v/>
      </c>
      <c r="AC433" s="310" t="e">
        <f t="shared" ca="1" si="199"/>
        <v>#N/A</v>
      </c>
      <c r="AD433" s="323" t="e">
        <f t="shared" ca="1" si="200"/>
        <v>#N/A</v>
      </c>
      <c r="AE433" s="324">
        <f t="shared" ca="1" si="179"/>
        <v>2236.1743078905306</v>
      </c>
      <c r="AG433" s="306">
        <f t="shared" ca="1" si="201"/>
        <v>-24.882992875747298</v>
      </c>
      <c r="AH433" s="304">
        <f t="shared" ca="1" si="202"/>
        <v>-15.222197297298518</v>
      </c>
    </row>
    <row r="434" spans="1:34" x14ac:dyDescent="0.2">
      <c r="A434" s="347">
        <f t="shared" ca="1" si="180"/>
        <v>0.1</v>
      </c>
      <c r="B434" s="304">
        <f t="shared" ca="1" si="181"/>
        <v>10.999999999999904</v>
      </c>
      <c r="D434" s="306">
        <f t="shared" ca="1" si="182"/>
        <v>-2.5929732277632636</v>
      </c>
      <c r="E434" s="307">
        <f t="shared" ca="1" si="183"/>
        <v>-24.44295862975498</v>
      </c>
      <c r="F434" s="304">
        <f t="shared" ca="1" si="184"/>
        <v>24.580108558259266</v>
      </c>
      <c r="G434" s="306">
        <f t="shared" ca="1" si="185"/>
        <v>39.470188644931845</v>
      </c>
      <c r="H434" s="307">
        <f t="shared" ca="1" si="186"/>
        <v>221.76161506669283</v>
      </c>
      <c r="I434" s="304">
        <f t="shared" ca="1" si="187"/>
        <v>225.2467751348608</v>
      </c>
      <c r="J434" s="306">
        <f t="shared" ca="1" si="188"/>
        <v>342.70147294488822</v>
      </c>
      <c r="K434" s="307">
        <f t="shared" ca="1" si="189"/>
        <v>2258.4726841903484</v>
      </c>
      <c r="L434" s="304">
        <f t="shared" ca="1" si="174"/>
        <v>2284.3255382700063</v>
      </c>
      <c r="M434" s="306">
        <f t="shared" ca="1" si="190"/>
        <v>1.3946560639842869</v>
      </c>
      <c r="N434" s="304">
        <f t="shared" ca="1" si="191"/>
        <v>79.90790633862693</v>
      </c>
      <c r="P434" s="310">
        <f t="shared" ca="1" si="192"/>
        <v>23</v>
      </c>
      <c r="Q434" s="304">
        <f t="shared" ca="1" si="193"/>
        <v>0</v>
      </c>
      <c r="R434" s="306">
        <f t="shared" ca="1" si="194"/>
        <v>0</v>
      </c>
      <c r="S434" s="307">
        <f t="shared" ca="1" si="195"/>
        <v>5.6519999999999806</v>
      </c>
      <c r="T434" s="304">
        <f t="shared" ca="1" si="175"/>
        <v>55.446119999999816</v>
      </c>
      <c r="U434" s="311">
        <f t="shared" ca="1" si="176"/>
        <v>0</v>
      </c>
      <c r="V434" s="306">
        <f t="shared" ca="1" si="177"/>
        <v>0.97640890595802254</v>
      </c>
      <c r="W434" s="304">
        <f t="shared" ca="1" si="178"/>
        <v>82.009272579994047</v>
      </c>
      <c r="Y434" s="314" t="str">
        <f t="shared" ca="1" si="196"/>
        <v/>
      </c>
      <c r="Z434" s="315" t="str">
        <f t="shared" ca="1" si="197"/>
        <v/>
      </c>
      <c r="AA434" s="316" t="str">
        <f t="shared" ca="1" si="198"/>
        <v/>
      </c>
      <c r="AC434" s="310">
        <f t="shared" ca="1" si="199"/>
        <v>10.999999999999904</v>
      </c>
      <c r="AD434" s="323">
        <f t="shared" ca="1" si="200"/>
        <v>342.70147294488822</v>
      </c>
      <c r="AE434" s="324">
        <f t="shared" ca="1" si="179"/>
        <v>2258.4726841903484</v>
      </c>
      <c r="AG434" s="306">
        <f t="shared" ca="1" si="201"/>
        <v>-24.520438526672788</v>
      </c>
      <c r="AH434" s="304">
        <f t="shared" ca="1" si="202"/>
        <v>-14.860921519879504</v>
      </c>
    </row>
    <row r="435" spans="1:34" x14ac:dyDescent="0.2">
      <c r="A435" s="347">
        <f t="shared" ca="1" si="180"/>
        <v>0.1</v>
      </c>
      <c r="B435" s="304">
        <f t="shared" ca="1" si="181"/>
        <v>11.099999999999904</v>
      </c>
      <c r="D435" s="306">
        <f t="shared" ca="1" si="182"/>
        <v>-2.5425612671239697</v>
      </c>
      <c r="E435" s="307">
        <f t="shared" ca="1" si="183"/>
        <v>-24.095274845673387</v>
      </c>
      <c r="F435" s="304">
        <f t="shared" ca="1" si="184"/>
        <v>24.229050490797604</v>
      </c>
      <c r="G435" s="306">
        <f t="shared" ca="1" si="185"/>
        <v>39.215932518219446</v>
      </c>
      <c r="H435" s="307">
        <f t="shared" ca="1" si="186"/>
        <v>219.35208758212548</v>
      </c>
      <c r="I435" s="304">
        <f t="shared" ca="1" si="187"/>
        <v>222.83004216198046</v>
      </c>
      <c r="J435" s="306">
        <f t="shared" ca="1" si="188"/>
        <v>346.6357790030458</v>
      </c>
      <c r="K435" s="307">
        <f t="shared" ca="1" si="189"/>
        <v>2280.5283693227893</v>
      </c>
      <c r="L435" s="304">
        <f t="shared" ca="1" si="174"/>
        <v>2306.721917911023</v>
      </c>
      <c r="M435" s="306">
        <f t="shared" ca="1" si="190"/>
        <v>1.3938846172796897</v>
      </c>
      <c r="N435" s="304">
        <f t="shared" ca="1" si="191"/>
        <v>79.863705698334243</v>
      </c>
      <c r="P435" s="310">
        <f t="shared" ca="1" si="192"/>
        <v>23</v>
      </c>
      <c r="Q435" s="304">
        <f t="shared" ca="1" si="193"/>
        <v>0</v>
      </c>
      <c r="R435" s="306">
        <f t="shared" ca="1" si="194"/>
        <v>0</v>
      </c>
      <c r="S435" s="307">
        <f t="shared" ca="1" si="195"/>
        <v>5.6519999999999806</v>
      </c>
      <c r="T435" s="304">
        <f t="shared" ca="1" si="175"/>
        <v>55.446119999999816</v>
      </c>
      <c r="U435" s="311">
        <f t="shared" ca="1" si="176"/>
        <v>0</v>
      </c>
      <c r="V435" s="306">
        <f t="shared" ca="1" si="177"/>
        <v>0.97422971249937818</v>
      </c>
      <c r="W435" s="304">
        <f t="shared" ca="1" si="178"/>
        <v>80.079788893720377</v>
      </c>
      <c r="Y435" s="314" t="str">
        <f t="shared" ca="1" si="196"/>
        <v/>
      </c>
      <c r="Z435" s="315" t="str">
        <f t="shared" ca="1" si="197"/>
        <v/>
      </c>
      <c r="AA435" s="316" t="str">
        <f t="shared" ca="1" si="198"/>
        <v/>
      </c>
      <c r="AC435" s="310" t="e">
        <f t="shared" ca="1" si="199"/>
        <v>#N/A</v>
      </c>
      <c r="AD435" s="323" t="e">
        <f t="shared" ca="1" si="200"/>
        <v>#N/A</v>
      </c>
      <c r="AE435" s="324">
        <f t="shared" ca="1" si="179"/>
        <v>2280.5283693227893</v>
      </c>
      <c r="AG435" s="306">
        <f t="shared" ca="1" si="201"/>
        <v>-24.167992793005595</v>
      </c>
      <c r="AH435" s="304">
        <f t="shared" ca="1" si="202"/>
        <v>-14.509779295823483</v>
      </c>
    </row>
    <row r="436" spans="1:34" x14ac:dyDescent="0.2">
      <c r="A436" s="347">
        <f t="shared" ca="1" si="180"/>
        <v>0.1</v>
      </c>
      <c r="B436" s="304">
        <f t="shared" ca="1" si="181"/>
        <v>11.199999999999903</v>
      </c>
      <c r="D436" s="306">
        <f t="shared" ca="1" si="182"/>
        <v>-2.4935011367550666</v>
      </c>
      <c r="E436" s="307">
        <f t="shared" ca="1" si="183"/>
        <v>-23.757256755440295</v>
      </c>
      <c r="F436" s="304">
        <f t="shared" ca="1" si="184"/>
        <v>23.887754110901934</v>
      </c>
      <c r="G436" s="306">
        <f t="shared" ca="1" si="185"/>
        <v>38.966582404543942</v>
      </c>
      <c r="H436" s="307">
        <f t="shared" ca="1" si="186"/>
        <v>216.97636190658145</v>
      </c>
      <c r="I436" s="304">
        <f t="shared" ca="1" si="187"/>
        <v>220.44758145760167</v>
      </c>
      <c r="J436" s="306">
        <f t="shared" ca="1" si="188"/>
        <v>350.54490474918396</v>
      </c>
      <c r="K436" s="307">
        <f t="shared" ca="1" si="189"/>
        <v>2302.3447917972248</v>
      </c>
      <c r="L436" s="304">
        <f t="shared" ca="1" si="174"/>
        <v>2328.8781141488321</v>
      </c>
      <c r="M436" s="306">
        <f t="shared" ca="1" si="190"/>
        <v>1.393101453637615</v>
      </c>
      <c r="N436" s="304">
        <f t="shared" ca="1" si="191"/>
        <v>79.818833726975257</v>
      </c>
      <c r="P436" s="310">
        <f t="shared" ca="1" si="192"/>
        <v>23</v>
      </c>
      <c r="Q436" s="304">
        <f t="shared" ca="1" si="193"/>
        <v>0</v>
      </c>
      <c r="R436" s="306">
        <f t="shared" ca="1" si="194"/>
        <v>0</v>
      </c>
      <c r="S436" s="307">
        <f t="shared" ca="1" si="195"/>
        <v>5.6519999999999806</v>
      </c>
      <c r="T436" s="304">
        <f t="shared" ca="1" si="175"/>
        <v>55.446119999999816</v>
      </c>
      <c r="U436" s="311">
        <f t="shared" ca="1" si="176"/>
        <v>0</v>
      </c>
      <c r="V436" s="306">
        <f t="shared" ca="1" si="177"/>
        <v>0.97207839948838648</v>
      </c>
      <c r="W436" s="304">
        <f t="shared" ca="1" si="178"/>
        <v>78.203471804049371</v>
      </c>
      <c r="Y436" s="314" t="str">
        <f t="shared" ca="1" si="196"/>
        <v/>
      </c>
      <c r="Z436" s="315" t="str">
        <f t="shared" ca="1" si="197"/>
        <v/>
      </c>
      <c r="AA436" s="316" t="str">
        <f t="shared" ca="1" si="198"/>
        <v/>
      </c>
      <c r="AC436" s="310" t="e">
        <f t="shared" ca="1" si="199"/>
        <v>#N/A</v>
      </c>
      <c r="AD436" s="323" t="e">
        <f t="shared" ca="1" si="200"/>
        <v>#N/A</v>
      </c>
      <c r="AE436" s="324">
        <f t="shared" ca="1" si="179"/>
        <v>2302.3447917972248</v>
      </c>
      <c r="AG436" s="306">
        <f t="shared" ca="1" si="201"/>
        <v>-23.825283096182524</v>
      </c>
      <c r="AH436" s="304">
        <f t="shared" ca="1" si="202"/>
        <v>-14.168398601153688</v>
      </c>
    </row>
    <row r="437" spans="1:34" x14ac:dyDescent="0.2">
      <c r="A437" s="347">
        <f t="shared" ca="1" si="180"/>
        <v>0.1</v>
      </c>
      <c r="B437" s="304">
        <f t="shared" ca="1" si="181"/>
        <v>11.299999999999903</v>
      </c>
      <c r="D437" s="306">
        <f t="shared" ca="1" si="182"/>
        <v>-2.4457432263620338</v>
      </c>
      <c r="E437" s="307">
        <f t="shared" ca="1" si="183"/>
        <v>-23.428552992520501</v>
      </c>
      <c r="F437" s="304">
        <f t="shared" ca="1" si="184"/>
        <v>23.555864561773934</v>
      </c>
      <c r="G437" s="306">
        <f t="shared" ca="1" si="185"/>
        <v>38.722008081907738</v>
      </c>
      <c r="H437" s="307">
        <f t="shared" ca="1" si="186"/>
        <v>214.63350660732939</v>
      </c>
      <c r="I437" s="304">
        <f t="shared" ca="1" si="187"/>
        <v>218.09845498869046</v>
      </c>
      <c r="J437" s="306">
        <f t="shared" ca="1" si="188"/>
        <v>354.42933427350653</v>
      </c>
      <c r="K437" s="307">
        <f t="shared" ca="1" si="189"/>
        <v>2323.9252852229206</v>
      </c>
      <c r="L437" s="304">
        <f t="shared" ca="1" si="174"/>
        <v>2350.7974996353882</v>
      </c>
      <c r="M437" s="306">
        <f t="shared" ca="1" si="190"/>
        <v>1.3923063871596335</v>
      </c>
      <c r="N437" s="304">
        <f t="shared" ca="1" si="191"/>
        <v>79.773279773354588</v>
      </c>
      <c r="P437" s="310">
        <f t="shared" ca="1" si="192"/>
        <v>23</v>
      </c>
      <c r="Q437" s="304">
        <f t="shared" ca="1" si="193"/>
        <v>0</v>
      </c>
      <c r="R437" s="306">
        <f t="shared" ca="1" si="194"/>
        <v>0</v>
      </c>
      <c r="S437" s="307">
        <f t="shared" ca="1" si="195"/>
        <v>5.6519999999999806</v>
      </c>
      <c r="T437" s="304">
        <f t="shared" ca="1" si="175"/>
        <v>55.446119999999816</v>
      </c>
      <c r="U437" s="311">
        <f t="shared" ca="1" si="176"/>
        <v>0</v>
      </c>
      <c r="V437" s="306">
        <f t="shared" ca="1" si="177"/>
        <v>0.9699544882429354</v>
      </c>
      <c r="W437" s="304">
        <f t="shared" ca="1" si="178"/>
        <v>76.378407494387943</v>
      </c>
      <c r="Y437" s="314" t="str">
        <f t="shared" ca="1" si="196"/>
        <v/>
      </c>
      <c r="Z437" s="315" t="str">
        <f t="shared" ca="1" si="197"/>
        <v/>
      </c>
      <c r="AA437" s="316" t="str">
        <f t="shared" ca="1" si="198"/>
        <v/>
      </c>
      <c r="AC437" s="310" t="e">
        <f t="shared" ca="1" si="199"/>
        <v>#N/A</v>
      </c>
      <c r="AD437" s="323" t="e">
        <f t="shared" ca="1" si="200"/>
        <v>#N/A</v>
      </c>
      <c r="AE437" s="324">
        <f t="shared" ca="1" si="179"/>
        <v>2323.9252852229206</v>
      </c>
      <c r="AG437" s="306">
        <f t="shared" ca="1" si="201"/>
        <v>-23.491954022725633</v>
      </c>
      <c r="AH437" s="304">
        <f t="shared" ca="1" si="202"/>
        <v>-13.836424593780899</v>
      </c>
    </row>
    <row r="438" spans="1:34" x14ac:dyDescent="0.2">
      <c r="A438" s="347">
        <f t="shared" ca="1" si="180"/>
        <v>0.1</v>
      </c>
      <c r="B438" s="304">
        <f t="shared" ca="1" si="181"/>
        <v>11.399999999999903</v>
      </c>
      <c r="D438" s="306">
        <f t="shared" ca="1" si="182"/>
        <v>-2.3992401917150743</v>
      </c>
      <c r="E438" s="307">
        <f t="shared" ca="1" si="183"/>
        <v>-23.108828264582009</v>
      </c>
      <c r="F438" s="304">
        <f t="shared" ca="1" si="184"/>
        <v>23.233043219937532</v>
      </c>
      <c r="G438" s="306">
        <f t="shared" ca="1" si="185"/>
        <v>38.482084062736227</v>
      </c>
      <c r="H438" s="307">
        <f t="shared" ca="1" si="186"/>
        <v>212.3226237808712</v>
      </c>
      <c r="I438" s="304">
        <f t="shared" ca="1" si="187"/>
        <v>215.78175864285856</v>
      </c>
      <c r="J438" s="306">
        <f t="shared" ca="1" si="188"/>
        <v>358.28953888073875</v>
      </c>
      <c r="K438" s="307">
        <f t="shared" ca="1" si="189"/>
        <v>2345.2730917423305</v>
      </c>
      <c r="L438" s="304">
        <f t="shared" ca="1" si="174"/>
        <v>2372.4833547407666</v>
      </c>
      <c r="M438" s="306">
        <f t="shared" ca="1" si="190"/>
        <v>1.3914992272027866</v>
      </c>
      <c r="N438" s="304">
        <f t="shared" ca="1" si="191"/>
        <v>79.727032914435313</v>
      </c>
      <c r="P438" s="310">
        <f t="shared" ca="1" si="192"/>
        <v>23</v>
      </c>
      <c r="Q438" s="304">
        <f t="shared" ca="1" si="193"/>
        <v>0</v>
      </c>
      <c r="R438" s="306">
        <f t="shared" ca="1" si="194"/>
        <v>0</v>
      </c>
      <c r="S438" s="307">
        <f t="shared" ca="1" si="195"/>
        <v>5.6519999999999806</v>
      </c>
      <c r="T438" s="304">
        <f t="shared" ca="1" si="175"/>
        <v>55.446119999999816</v>
      </c>
      <c r="U438" s="311">
        <f t="shared" ca="1" si="176"/>
        <v>0</v>
      </c>
      <c r="V438" s="306">
        <f t="shared" ca="1" si="177"/>
        <v>0.96785751392798558</v>
      </c>
      <c r="W438" s="304">
        <f t="shared" ca="1" si="178"/>
        <v>74.602768881796109</v>
      </c>
      <c r="Y438" s="314" t="str">
        <f t="shared" ca="1" si="196"/>
        <v/>
      </c>
      <c r="Z438" s="315" t="str">
        <f t="shared" ca="1" si="197"/>
        <v/>
      </c>
      <c r="AA438" s="316" t="str">
        <f t="shared" ca="1" si="198"/>
        <v/>
      </c>
      <c r="AC438" s="310" t="e">
        <f t="shared" ca="1" si="199"/>
        <v>#N/A</v>
      </c>
      <c r="AD438" s="323" t="e">
        <f t="shared" ca="1" si="200"/>
        <v>#N/A</v>
      </c>
      <c r="AE438" s="324">
        <f t="shared" ca="1" si="179"/>
        <v>2345.2730917423305</v>
      </c>
      <c r="AG438" s="306">
        <f t="shared" ca="1" si="201"/>
        <v>-23.167666375123325</v>
      </c>
      <c r="AH438" s="304">
        <f t="shared" ca="1" si="202"/>
        <v>-13.513518664966066</v>
      </c>
    </row>
    <row r="439" spans="1:34" x14ac:dyDescent="0.2">
      <c r="A439" s="347">
        <f t="shared" ca="1" si="180"/>
        <v>0.1</v>
      </c>
      <c r="B439" s="304">
        <f t="shared" ca="1" si="181"/>
        <v>11.499999999999902</v>
      </c>
      <c r="D439" s="306">
        <f t="shared" ca="1" si="182"/>
        <v>-2.3539468306795954</v>
      </c>
      <c r="E439" s="307">
        <f t="shared" ca="1" si="183"/>
        <v>-22.79776247449994</v>
      </c>
      <c r="F439" s="304">
        <f t="shared" ca="1" si="184"/>
        <v>22.918966807545758</v>
      </c>
      <c r="G439" s="306">
        <f t="shared" ca="1" si="185"/>
        <v>38.246689379668268</v>
      </c>
      <c r="H439" s="307">
        <f t="shared" ca="1" si="186"/>
        <v>210.0428475334212</v>
      </c>
      <c r="I439" s="304">
        <f t="shared" ca="1" si="187"/>
        <v>213.496620695628</v>
      </c>
      <c r="J439" s="306">
        <f t="shared" ca="1" si="188"/>
        <v>362.12597755285896</v>
      </c>
      <c r="K439" s="307">
        <f t="shared" ca="1" si="189"/>
        <v>2366.3913653080454</v>
      </c>
      <c r="L439" s="304">
        <f t="shared" ca="1" si="174"/>
        <v>2393.9388708618039</v>
      </c>
      <c r="M439" s="306">
        <f t="shared" ca="1" si="190"/>
        <v>1.3906797782465661</v>
      </c>
      <c r="N439" s="304">
        <f t="shared" ca="1" si="191"/>
        <v>79.680081947717468</v>
      </c>
      <c r="P439" s="310">
        <f t="shared" ca="1" si="192"/>
        <v>23</v>
      </c>
      <c r="Q439" s="304">
        <f t="shared" ca="1" si="193"/>
        <v>0</v>
      </c>
      <c r="R439" s="306">
        <f t="shared" ca="1" si="194"/>
        <v>0</v>
      </c>
      <c r="S439" s="307">
        <f t="shared" ca="1" si="195"/>
        <v>5.6519999999999806</v>
      </c>
      <c r="T439" s="304">
        <f t="shared" ca="1" si="175"/>
        <v>55.446119999999816</v>
      </c>
      <c r="U439" s="311">
        <f t="shared" ca="1" si="176"/>
        <v>0</v>
      </c>
      <c r="V439" s="306">
        <f t="shared" ca="1" si="177"/>
        <v>0.96578702503626435</v>
      </c>
      <c r="W439" s="304">
        <f t="shared" ca="1" si="178"/>
        <v>72.874810918566766</v>
      </c>
      <c r="Y439" s="314" t="str">
        <f t="shared" ca="1" si="196"/>
        <v/>
      </c>
      <c r="Z439" s="315" t="str">
        <f t="shared" ca="1" si="197"/>
        <v/>
      </c>
      <c r="AA439" s="316" t="str">
        <f t="shared" ca="1" si="198"/>
        <v/>
      </c>
      <c r="AC439" s="310" t="e">
        <f t="shared" ca="1" si="199"/>
        <v>#N/A</v>
      </c>
      <c r="AD439" s="323" t="e">
        <f t="shared" ca="1" si="200"/>
        <v>#N/A</v>
      </c>
      <c r="AE439" s="324">
        <f t="shared" ca="1" si="179"/>
        <v>2366.3913653080454</v>
      </c>
      <c r="AG439" s="306">
        <f t="shared" ca="1" si="201"/>
        <v>-22.852096283531402</v>
      </c>
      <c r="AH439" s="304">
        <f t="shared" ca="1" si="202"/>
        <v>-13.199357551627099</v>
      </c>
    </row>
    <row r="440" spans="1:34" x14ac:dyDescent="0.2">
      <c r="A440" s="347">
        <f t="shared" ca="1" si="180"/>
        <v>0.1</v>
      </c>
      <c r="B440" s="304">
        <f t="shared" ca="1" si="181"/>
        <v>11.599999999999902</v>
      </c>
      <c r="D440" s="306">
        <f t="shared" ca="1" si="182"/>
        <v>-2.3098199671246835</v>
      </c>
      <c r="E440" s="307">
        <f t="shared" ca="1" si="183"/>
        <v>-22.49504989721623</v>
      </c>
      <c r="F440" s="304">
        <f t="shared" ca="1" si="184"/>
        <v>22.61332656109613</v>
      </c>
      <c r="G440" s="306">
        <f t="shared" ca="1" si="185"/>
        <v>38.015707382955803</v>
      </c>
      <c r="H440" s="307">
        <f t="shared" ca="1" si="186"/>
        <v>207.79334254369957</v>
      </c>
      <c r="I440" s="304">
        <f t="shared" ca="1" si="187"/>
        <v>211.24220036088855</v>
      </c>
      <c r="J440" s="306">
        <f t="shared" ca="1" si="188"/>
        <v>365.93909739099018</v>
      </c>
      <c r="K440" s="307">
        <f t="shared" ca="1" si="189"/>
        <v>2387.2831748119015</v>
      </c>
      <c r="L440" s="304">
        <f t="shared" ca="1" si="174"/>
        <v>2415.1671535815744</v>
      </c>
      <c r="M440" s="306">
        <f t="shared" ca="1" si="190"/>
        <v>1.3898478397550222</v>
      </c>
      <c r="N440" s="304">
        <f t="shared" ca="1" si="191"/>
        <v>79.632415383337531</v>
      </c>
      <c r="P440" s="310">
        <f t="shared" ca="1" si="192"/>
        <v>23</v>
      </c>
      <c r="Q440" s="304">
        <f t="shared" ca="1" si="193"/>
        <v>0</v>
      </c>
      <c r="R440" s="306">
        <f t="shared" ca="1" si="194"/>
        <v>0</v>
      </c>
      <c r="S440" s="307">
        <f t="shared" ca="1" si="195"/>
        <v>5.6519999999999806</v>
      </c>
      <c r="T440" s="304">
        <f t="shared" ca="1" si="175"/>
        <v>55.446119999999816</v>
      </c>
      <c r="U440" s="311">
        <f t="shared" ca="1" si="176"/>
        <v>0</v>
      </c>
      <c r="V440" s="306">
        <f t="shared" ca="1" si="177"/>
        <v>0.96374258289323222</v>
      </c>
      <c r="W440" s="304">
        <f t="shared" ca="1" si="178"/>
        <v>71.192866189601105</v>
      </c>
      <c r="Y440" s="314" t="str">
        <f t="shared" ca="1" si="196"/>
        <v/>
      </c>
      <c r="Z440" s="315" t="str">
        <f t="shared" ca="1" si="197"/>
        <v/>
      </c>
      <c r="AA440" s="316" t="str">
        <f t="shared" ca="1" si="198"/>
        <v/>
      </c>
      <c r="AC440" s="310" t="e">
        <f t="shared" ca="1" si="199"/>
        <v>#N/A</v>
      </c>
      <c r="AD440" s="323" t="e">
        <f t="shared" ca="1" si="200"/>
        <v>#N/A</v>
      </c>
      <c r="AE440" s="324">
        <f t="shared" ca="1" si="179"/>
        <v>2387.2831748119015</v>
      </c>
      <c r="AG440" s="306">
        <f t="shared" ca="1" si="201"/>
        <v>-22.544934373857426</v>
      </c>
      <c r="AH440" s="304">
        <f t="shared" ca="1" si="202"/>
        <v>-12.89363250505432</v>
      </c>
    </row>
    <row r="441" spans="1:34" x14ac:dyDescent="0.2">
      <c r="A441" s="347">
        <f t="shared" ca="1" si="180"/>
        <v>0.1</v>
      </c>
      <c r="B441" s="304">
        <f t="shared" ca="1" si="181"/>
        <v>11.699999999999902</v>
      </c>
      <c r="D441" s="306">
        <f t="shared" ca="1" si="182"/>
        <v>-2.2668183421406409</v>
      </c>
      <c r="E441" s="307">
        <f t="shared" ca="1" si="183"/>
        <v>-22.200398408420924</v>
      </c>
      <c r="F441" s="304">
        <f t="shared" ca="1" si="184"/>
        <v>22.315827452480526</v>
      </c>
      <c r="G441" s="306">
        <f t="shared" ca="1" si="185"/>
        <v>37.789025548741741</v>
      </c>
      <c r="H441" s="307">
        <f t="shared" ca="1" si="186"/>
        <v>205.57330270285746</v>
      </c>
      <c r="I441" s="304">
        <f t="shared" ca="1" si="187"/>
        <v>209.01768641931744</v>
      </c>
      <c r="J441" s="306">
        <f t="shared" ca="1" si="188"/>
        <v>369.72933403757509</v>
      </c>
      <c r="K441" s="307">
        <f t="shared" ca="1" si="189"/>
        <v>2407.9515070742295</v>
      </c>
      <c r="L441" s="304">
        <f t="shared" ca="1" si="174"/>
        <v>2436.1712256877436</v>
      </c>
      <c r="M441" s="306">
        <f t="shared" ca="1" si="190"/>
        <v>1.3890032060338089</v>
      </c>
      <c r="N441" s="304">
        <f t="shared" ca="1" si="191"/>
        <v>79.584021435877574</v>
      </c>
      <c r="P441" s="310">
        <f t="shared" ca="1" si="192"/>
        <v>23</v>
      </c>
      <c r="Q441" s="304">
        <f t="shared" ca="1" si="193"/>
        <v>0</v>
      </c>
      <c r="R441" s="306">
        <f t="shared" ca="1" si="194"/>
        <v>0</v>
      </c>
      <c r="S441" s="307">
        <f t="shared" ca="1" si="195"/>
        <v>5.6519999999999806</v>
      </c>
      <c r="T441" s="304">
        <f t="shared" ca="1" si="175"/>
        <v>55.446119999999816</v>
      </c>
      <c r="U441" s="311">
        <f t="shared" ca="1" si="176"/>
        <v>0</v>
      </c>
      <c r="V441" s="306">
        <f t="shared" ca="1" si="177"/>
        <v>0.96172376118497993</v>
      </c>
      <c r="W441" s="304">
        <f t="shared" ca="1" si="178"/>
        <v>69.555340784413985</v>
      </c>
      <c r="Y441" s="314" t="str">
        <f t="shared" ca="1" si="196"/>
        <v/>
      </c>
      <c r="Z441" s="315" t="str">
        <f t="shared" ca="1" si="197"/>
        <v/>
      </c>
      <c r="AA441" s="316" t="str">
        <f t="shared" ca="1" si="198"/>
        <v/>
      </c>
      <c r="AC441" s="310" t="e">
        <f t="shared" ca="1" si="199"/>
        <v>#N/A</v>
      </c>
      <c r="AD441" s="323" t="e">
        <f t="shared" ca="1" si="200"/>
        <v>#N/A</v>
      </c>
      <c r="AE441" s="324">
        <f t="shared" ca="1" si="179"/>
        <v>2407.9515070742295</v>
      </c>
      <c r="AG441" s="306">
        <f t="shared" ca="1" si="201"/>
        <v>-22.245884988153229</v>
      </c>
      <c r="AH441" s="304">
        <f t="shared" ca="1" si="202"/>
        <v>-12.596048511960607</v>
      </c>
    </row>
    <row r="442" spans="1:34" x14ac:dyDescent="0.2">
      <c r="A442" s="347">
        <f t="shared" ca="1" si="180"/>
        <v>0.1</v>
      </c>
      <c r="B442" s="304">
        <f t="shared" ca="1" si="181"/>
        <v>11.799999999999901</v>
      </c>
      <c r="D442" s="306">
        <f t="shared" ca="1" si="182"/>
        <v>-2.2249025120425743</v>
      </c>
      <c r="E442" s="307">
        <f t="shared" ca="1" si="183"/>
        <v>-21.913528761347109</v>
      </c>
      <c r="F442" s="304">
        <f t="shared" ca="1" si="184"/>
        <v>22.026187458624797</v>
      </c>
      <c r="G442" s="306">
        <f t="shared" ca="1" si="185"/>
        <v>37.566535297537484</v>
      </c>
      <c r="H442" s="307">
        <f t="shared" ca="1" si="186"/>
        <v>203.38194982672275</v>
      </c>
      <c r="I442" s="304">
        <f t="shared" ca="1" si="187"/>
        <v>206.82229591990489</v>
      </c>
      <c r="J442" s="306">
        <f t="shared" ca="1" si="188"/>
        <v>373.49711207988906</v>
      </c>
      <c r="K442" s="307">
        <f t="shared" ca="1" si="189"/>
        <v>2428.3992697007084</v>
      </c>
      <c r="L442" s="304">
        <f t="shared" ca="1" si="174"/>
        <v>2456.954030057329</v>
      </c>
      <c r="M442" s="306">
        <f t="shared" ca="1" si="190"/>
        <v>1.388145666081958</v>
      </c>
      <c r="N442" s="304">
        <f t="shared" ca="1" si="191"/>
        <v>79.534888015872667</v>
      </c>
      <c r="P442" s="310">
        <f t="shared" ca="1" si="192"/>
        <v>23</v>
      </c>
      <c r="Q442" s="304">
        <f t="shared" ca="1" si="193"/>
        <v>0</v>
      </c>
      <c r="R442" s="306">
        <f t="shared" ca="1" si="194"/>
        <v>0</v>
      </c>
      <c r="S442" s="307">
        <f t="shared" ca="1" si="195"/>
        <v>5.6519999999999806</v>
      </c>
      <c r="T442" s="304">
        <f t="shared" ca="1" si="175"/>
        <v>55.446119999999816</v>
      </c>
      <c r="U442" s="311">
        <f t="shared" ca="1" si="176"/>
        <v>0</v>
      </c>
      <c r="V442" s="306">
        <f t="shared" ca="1" si="177"/>
        <v>0.95973014550778823</v>
      </c>
      <c r="W442" s="304">
        <f t="shared" ca="1" si="178"/>
        <v>67.960710424295499</v>
      </c>
      <c r="Y442" s="314" t="str">
        <f t="shared" ca="1" si="196"/>
        <v/>
      </c>
      <c r="Z442" s="315" t="str">
        <f t="shared" ca="1" si="197"/>
        <v/>
      </c>
      <c r="AA442" s="316" t="str">
        <f t="shared" ca="1" si="198"/>
        <v/>
      </c>
      <c r="AC442" s="310" t="e">
        <f t="shared" ca="1" si="199"/>
        <v>#N/A</v>
      </c>
      <c r="AD442" s="323" t="e">
        <f t="shared" ca="1" si="200"/>
        <v>#N/A</v>
      </c>
      <c r="AE442" s="324">
        <f t="shared" ca="1" si="179"/>
        <v>2428.3992697007084</v>
      </c>
      <c r="AG442" s="306">
        <f t="shared" ca="1" si="201"/>
        <v>-21.954665453569532</v>
      </c>
      <c r="AH442" s="304">
        <f t="shared" ca="1" si="202"/>
        <v>-12.306323564121413</v>
      </c>
    </row>
    <row r="443" spans="1:34" x14ac:dyDescent="0.2">
      <c r="A443" s="347">
        <f t="shared" ca="1" si="180"/>
        <v>0.1</v>
      </c>
      <c r="B443" s="304">
        <f t="shared" ca="1" si="181"/>
        <v>11.899999999999901</v>
      </c>
      <c r="D443" s="306">
        <f t="shared" ca="1" si="182"/>
        <v>-2.1840347526788944</v>
      </c>
      <c r="E443" s="307">
        <f t="shared" ca="1" si="183"/>
        <v>-21.634173908267627</v>
      </c>
      <c r="F443" s="304">
        <f t="shared" ca="1" si="184"/>
        <v>21.744136876272577</v>
      </c>
      <c r="G443" s="306">
        <f t="shared" ca="1" si="185"/>
        <v>37.348131822269593</v>
      </c>
      <c r="H443" s="307">
        <f t="shared" ca="1" si="186"/>
        <v>201.21853243589598</v>
      </c>
      <c r="I443" s="304">
        <f t="shared" ca="1" si="187"/>
        <v>204.65527295007413</v>
      </c>
      <c r="J443" s="306">
        <f t="shared" ca="1" si="188"/>
        <v>377.24284543587942</v>
      </c>
      <c r="K443" s="307">
        <f t="shared" ca="1" si="189"/>
        <v>2448.6292938138395</v>
      </c>
      <c r="L443" s="304">
        <f t="shared" ca="1" si="174"/>
        <v>2477.5184324149482</v>
      </c>
      <c r="M443" s="306">
        <f t="shared" ca="1" si="190"/>
        <v>1.3872750034381802</v>
      </c>
      <c r="N443" s="304">
        <f t="shared" ca="1" si="191"/>
        <v>79.485002721004491</v>
      </c>
      <c r="P443" s="310">
        <f t="shared" ca="1" si="192"/>
        <v>23</v>
      </c>
      <c r="Q443" s="304">
        <f t="shared" ca="1" si="193"/>
        <v>0</v>
      </c>
      <c r="R443" s="306">
        <f t="shared" ca="1" si="194"/>
        <v>0</v>
      </c>
      <c r="S443" s="307">
        <f t="shared" ca="1" si="195"/>
        <v>5.6519999999999806</v>
      </c>
      <c r="T443" s="304">
        <f t="shared" ca="1" si="175"/>
        <v>55.446119999999816</v>
      </c>
      <c r="U443" s="311">
        <f t="shared" ca="1" si="176"/>
        <v>0</v>
      </c>
      <c r="V443" s="306">
        <f t="shared" ca="1" si="177"/>
        <v>0.95776133293817245</v>
      </c>
      <c r="W443" s="304">
        <f t="shared" ca="1" si="178"/>
        <v>66.407516826700515</v>
      </c>
      <c r="Y443" s="314" t="str">
        <f t="shared" ca="1" si="196"/>
        <v/>
      </c>
      <c r="Z443" s="315" t="str">
        <f t="shared" ca="1" si="197"/>
        <v/>
      </c>
      <c r="AA443" s="316" t="str">
        <f t="shared" ca="1" si="198"/>
        <v/>
      </c>
      <c r="AC443" s="310" t="e">
        <f t="shared" ca="1" si="199"/>
        <v>#N/A</v>
      </c>
      <c r="AD443" s="323" t="e">
        <f t="shared" ca="1" si="200"/>
        <v>#N/A</v>
      </c>
      <c r="AE443" s="324">
        <f t="shared" ca="1" si="179"/>
        <v>2448.6292938138395</v>
      </c>
      <c r="AG443" s="306">
        <f t="shared" ca="1" si="201"/>
        <v>-21.671005396425844</v>
      </c>
      <c r="AH443" s="304">
        <f t="shared" ca="1" si="202"/>
        <v>-12.024187973159188</v>
      </c>
    </row>
    <row r="444" spans="1:34" x14ac:dyDescent="0.2">
      <c r="A444" s="347">
        <f t="shared" ca="1" si="180"/>
        <v>0.1</v>
      </c>
      <c r="B444" s="304">
        <f t="shared" ca="1" si="181"/>
        <v>11.999999999999901</v>
      </c>
      <c r="D444" s="306">
        <f t="shared" ca="1" si="182"/>
        <v>-2.1441789696016627</v>
      </c>
      <c r="E444" s="307">
        <f t="shared" ca="1" si="183"/>
        <v>-21.362078363552801</v>
      </c>
      <c r="F444" s="304">
        <f t="shared" ca="1" si="184"/>
        <v>21.469417678741376</v>
      </c>
      <c r="G444" s="306">
        <f t="shared" ca="1" si="185"/>
        <v>37.133713925309429</v>
      </c>
      <c r="H444" s="307">
        <f t="shared" ca="1" si="186"/>
        <v>199.0823245995407</v>
      </c>
      <c r="I444" s="304">
        <f t="shared" ca="1" si="187"/>
        <v>202.51588747020222</v>
      </c>
      <c r="J444" s="306">
        <f t="shared" ca="1" si="188"/>
        <v>380.96693772325835</v>
      </c>
      <c r="K444" s="307">
        <f t="shared" ca="1" si="189"/>
        <v>2468.6443366656113</v>
      </c>
      <c r="L444" s="304">
        <f t="shared" ca="1" si="174"/>
        <v>2497.8672239711686</v>
      </c>
      <c r="M444" s="306">
        <f t="shared" ca="1" si="190"/>
        <v>1.3863909960214591</v>
      </c>
      <c r="N444" s="304">
        <f t="shared" ca="1" si="191"/>
        <v>79.434352826968109</v>
      </c>
      <c r="P444" s="310">
        <f t="shared" ca="1" si="192"/>
        <v>23</v>
      </c>
      <c r="Q444" s="304">
        <f t="shared" ca="1" si="193"/>
        <v>0</v>
      </c>
      <c r="R444" s="306">
        <f t="shared" ca="1" si="194"/>
        <v>0</v>
      </c>
      <c r="S444" s="307">
        <f t="shared" ca="1" si="195"/>
        <v>5.6519999999999806</v>
      </c>
      <c r="T444" s="304">
        <f t="shared" ca="1" si="175"/>
        <v>55.446119999999816</v>
      </c>
      <c r="U444" s="311">
        <f t="shared" ca="1" si="176"/>
        <v>0</v>
      </c>
      <c r="V444" s="306">
        <f t="shared" ca="1" si="177"/>
        <v>0.95581693162230619</v>
      </c>
      <c r="W444" s="304">
        <f t="shared" ca="1" si="178"/>
        <v>64.894364290346473</v>
      </c>
      <c r="Y444" s="314" t="str">
        <f t="shared" ca="1" si="196"/>
        <v/>
      </c>
      <c r="Z444" s="315" t="str">
        <f t="shared" ca="1" si="197"/>
        <v/>
      </c>
      <c r="AA444" s="316" t="str">
        <f t="shared" ca="1" si="198"/>
        <v/>
      </c>
      <c r="AC444" s="310">
        <f t="shared" ca="1" si="199"/>
        <v>11.999999999999901</v>
      </c>
      <c r="AD444" s="323">
        <f t="shared" ca="1" si="200"/>
        <v>380.96693772325835</v>
      </c>
      <c r="AE444" s="324">
        <f t="shared" ca="1" si="179"/>
        <v>2468.6443366656113</v>
      </c>
      <c r="AG444" s="306">
        <f t="shared" ca="1" si="201"/>
        <v>-21.394646098222296</v>
      </c>
      <c r="AH444" s="304">
        <f t="shared" ca="1" si="202"/>
        <v>-11.749383727300202</v>
      </c>
    </row>
    <row r="445" spans="1:34" x14ac:dyDescent="0.2">
      <c r="A445" s="347">
        <f t="shared" ca="1" si="180"/>
        <v>0.1</v>
      </c>
      <c r="B445" s="304">
        <f t="shared" ca="1" si="181"/>
        <v>12.0999999999999</v>
      </c>
      <c r="D445" s="306">
        <f t="shared" ca="1" si="182"/>
        <v>-2.1053006136906989</v>
      </c>
      <c r="E445" s="307">
        <f t="shared" ca="1" si="183"/>
        <v>-21.096997605394829</v>
      </c>
      <c r="F445" s="304">
        <f t="shared" ca="1" si="184"/>
        <v>21.201782911728003</v>
      </c>
      <c r="G445" s="306">
        <f t="shared" ca="1" si="185"/>
        <v>36.923183863940359</v>
      </c>
      <c r="H445" s="307">
        <f t="shared" ca="1" si="186"/>
        <v>196.97262483900121</v>
      </c>
      <c r="I445" s="304">
        <f t="shared" ca="1" si="187"/>
        <v>200.40343420863891</v>
      </c>
      <c r="J445" s="306">
        <f t="shared" ca="1" si="188"/>
        <v>384.66978261272084</v>
      </c>
      <c r="K445" s="307">
        <f t="shared" ca="1" si="189"/>
        <v>2488.4470841375382</v>
      </c>
      <c r="L445" s="304">
        <f t="shared" ca="1" si="174"/>
        <v>2518.003123947215</v>
      </c>
      <c r="M445" s="306">
        <f t="shared" ca="1" si="190"/>
        <v>1.3854934159657155</v>
      </c>
      <c r="N445" s="304">
        <f t="shared" ca="1" si="191"/>
        <v>79.382925277998893</v>
      </c>
      <c r="P445" s="310">
        <f t="shared" ca="1" si="192"/>
        <v>23</v>
      </c>
      <c r="Q445" s="304">
        <f t="shared" ca="1" si="193"/>
        <v>0</v>
      </c>
      <c r="R445" s="306">
        <f t="shared" ca="1" si="194"/>
        <v>0</v>
      </c>
      <c r="S445" s="307">
        <f t="shared" ca="1" si="195"/>
        <v>5.6519999999999806</v>
      </c>
      <c r="T445" s="304">
        <f t="shared" ca="1" si="175"/>
        <v>55.446119999999816</v>
      </c>
      <c r="U445" s="311">
        <f t="shared" ca="1" si="176"/>
        <v>0</v>
      </c>
      <c r="V445" s="306">
        <f t="shared" ca="1" si="177"/>
        <v>0.95389656038378345</v>
      </c>
      <c r="W445" s="304">
        <f t="shared" ca="1" si="178"/>
        <v>63.419916485785379</v>
      </c>
      <c r="Y445" s="314" t="str">
        <f t="shared" ca="1" si="196"/>
        <v/>
      </c>
      <c r="Z445" s="315" t="str">
        <f t="shared" ca="1" si="197"/>
        <v/>
      </c>
      <c r="AA445" s="316" t="str">
        <f t="shared" ca="1" si="198"/>
        <v/>
      </c>
      <c r="AC445" s="310" t="e">
        <f t="shared" ca="1" si="199"/>
        <v>#N/A</v>
      </c>
      <c r="AD445" s="323" t="e">
        <f t="shared" ca="1" si="200"/>
        <v>#N/A</v>
      </c>
      <c r="AE445" s="324">
        <f t="shared" ca="1" si="179"/>
        <v>2488.4470841375382</v>
      </c>
      <c r="AG445" s="306">
        <f t="shared" ca="1" si="201"/>
        <v>-21.125339890669089</v>
      </c>
      <c r="AH445" s="304">
        <f t="shared" ca="1" si="202"/>
        <v>-11.481663887180945</v>
      </c>
    </row>
    <row r="446" spans="1:34" x14ac:dyDescent="0.2">
      <c r="A446" s="347">
        <f t="shared" ca="1" si="180"/>
        <v>0.1</v>
      </c>
      <c r="B446" s="304">
        <f t="shared" ca="1" si="181"/>
        <v>12.1999999999999</v>
      </c>
      <c r="D446" s="306">
        <f t="shared" ca="1" si="182"/>
        <v>-2.0673666018549315</v>
      </c>
      <c r="E446" s="307">
        <f t="shared" ca="1" si="183"/>
        <v>-20.838697513530064</v>
      </c>
      <c r="F446" s="304">
        <f t="shared" ca="1" si="184"/>
        <v>20.940996125468082</v>
      </c>
      <c r="G446" s="306">
        <f t="shared" ca="1" si="185"/>
        <v>36.716447203754868</v>
      </c>
      <c r="H446" s="307">
        <f t="shared" ca="1" si="186"/>
        <v>194.88875508764821</v>
      </c>
      <c r="I446" s="304">
        <f t="shared" ca="1" si="187"/>
        <v>198.31723161359287</v>
      </c>
      <c r="J446" s="306">
        <f t="shared" ca="1" si="188"/>
        <v>388.35176416610562</v>
      </c>
      <c r="K446" s="307">
        <f t="shared" ca="1" si="189"/>
        <v>2508.0401531338707</v>
      </c>
      <c r="L446" s="304">
        <f t="shared" ca="1" si="174"/>
        <v>2537.9287819918618</v>
      </c>
      <c r="M446" s="306">
        <f t="shared" ca="1" si="190"/>
        <v>1.3845820294482907</v>
      </c>
      <c r="N446" s="304">
        <f t="shared" ca="1" si="191"/>
        <v>79.330706677045313</v>
      </c>
      <c r="P446" s="310">
        <f t="shared" ca="1" si="192"/>
        <v>23</v>
      </c>
      <c r="Q446" s="304">
        <f t="shared" ca="1" si="193"/>
        <v>0</v>
      </c>
      <c r="R446" s="306">
        <f t="shared" ca="1" si="194"/>
        <v>0</v>
      </c>
      <c r="S446" s="307">
        <f t="shared" ca="1" si="195"/>
        <v>5.6519999999999806</v>
      </c>
      <c r="T446" s="304">
        <f t="shared" ca="1" si="175"/>
        <v>55.446119999999816</v>
      </c>
      <c r="U446" s="311">
        <f t="shared" ca="1" si="176"/>
        <v>0</v>
      </c>
      <c r="V446" s="306">
        <f t="shared" ca="1" si="177"/>
        <v>0.9519998483487494</v>
      </c>
      <c r="W446" s="304">
        <f t="shared" ca="1" si="178"/>
        <v>61.982893437394047</v>
      </c>
      <c r="Y446" s="314" t="str">
        <f t="shared" ca="1" si="196"/>
        <v/>
      </c>
      <c r="Z446" s="315" t="str">
        <f t="shared" ca="1" si="197"/>
        <v/>
      </c>
      <c r="AA446" s="316" t="str">
        <f t="shared" ca="1" si="198"/>
        <v/>
      </c>
      <c r="AC446" s="310" t="e">
        <f t="shared" ca="1" si="199"/>
        <v>#N/A</v>
      </c>
      <c r="AD446" s="323" t="e">
        <f t="shared" ca="1" si="200"/>
        <v>#N/A</v>
      </c>
      <c r="AE446" s="324">
        <f t="shared" ca="1" si="179"/>
        <v>2508.0401531338707</v>
      </c>
      <c r="AG446" s="306">
        <f t="shared" ca="1" si="201"/>
        <v>-20.862849587036727</v>
      </c>
      <c r="AH446" s="304">
        <f t="shared" ca="1" si="202"/>
        <v>-11.220792018008774</v>
      </c>
    </row>
    <row r="447" spans="1:34" x14ac:dyDescent="0.2">
      <c r="A447" s="347">
        <f t="shared" ca="1" si="180"/>
        <v>0.1</v>
      </c>
      <c r="B447" s="304">
        <f t="shared" ca="1" si="181"/>
        <v>12.299999999999899</v>
      </c>
      <c r="D447" s="306">
        <f t="shared" ca="1" si="182"/>
        <v>-2.0303452424637798</v>
      </c>
      <c r="E447" s="307">
        <f t="shared" ca="1" si="183"/>
        <v>-20.58695384049657</v>
      </c>
      <c r="F447" s="304">
        <f t="shared" ca="1" si="184"/>
        <v>20.686830840762724</v>
      </c>
      <c r="G447" s="306">
        <f t="shared" ca="1" si="185"/>
        <v>36.513412679508491</v>
      </c>
      <c r="H447" s="307">
        <f t="shared" ca="1" si="186"/>
        <v>192.83005970359855</v>
      </c>
      <c r="I447" s="304">
        <f t="shared" ca="1" si="187"/>
        <v>196.25662085850115</v>
      </c>
      <c r="J447" s="306">
        <f t="shared" ca="1" si="188"/>
        <v>392.01325716026878</v>
      </c>
      <c r="K447" s="307">
        <f t="shared" ca="1" si="189"/>
        <v>2527.4260938734333</v>
      </c>
      <c r="L447" s="304">
        <f t="shared" ca="1" si="174"/>
        <v>2557.646780496033</v>
      </c>
      <c r="M447" s="306">
        <f t="shared" ca="1" si="190"/>
        <v>1.3836565965119958</v>
      </c>
      <c r="N447" s="304">
        <f t="shared" ca="1" si="191"/>
        <v>79.277683275573224</v>
      </c>
      <c r="P447" s="310">
        <f t="shared" ca="1" si="192"/>
        <v>23</v>
      </c>
      <c r="Q447" s="304">
        <f t="shared" ca="1" si="193"/>
        <v>0</v>
      </c>
      <c r="R447" s="306">
        <f t="shared" ca="1" si="194"/>
        <v>0</v>
      </c>
      <c r="S447" s="307">
        <f t="shared" ca="1" si="195"/>
        <v>5.6519999999999806</v>
      </c>
      <c r="T447" s="304">
        <f t="shared" ca="1" si="175"/>
        <v>55.446119999999816</v>
      </c>
      <c r="U447" s="311">
        <f t="shared" ca="1" si="176"/>
        <v>0</v>
      </c>
      <c r="V447" s="306">
        <f t="shared" ca="1" si="177"/>
        <v>0.95012643458748525</v>
      </c>
      <c r="W447" s="304">
        <f t="shared" ca="1" si="178"/>
        <v>60.582068683800316</v>
      </c>
      <c r="Y447" s="314" t="str">
        <f t="shared" ca="1" si="196"/>
        <v/>
      </c>
      <c r="Z447" s="315" t="str">
        <f t="shared" ca="1" si="197"/>
        <v/>
      </c>
      <c r="AA447" s="316" t="str">
        <f t="shared" ca="1" si="198"/>
        <v/>
      </c>
      <c r="AC447" s="310" t="e">
        <f t="shared" ca="1" si="199"/>
        <v>#N/A</v>
      </c>
      <c r="AD447" s="323" t="e">
        <f t="shared" ca="1" si="200"/>
        <v>#N/A</v>
      </c>
      <c r="AE447" s="324">
        <f t="shared" ca="1" si="179"/>
        <v>2527.4260938734333</v>
      </c>
      <c r="AG447" s="306">
        <f t="shared" ca="1" si="201"/>
        <v>-20.606947947338444</v>
      </c>
      <c r="AH447" s="304">
        <f t="shared" ca="1" si="202"/>
        <v>-10.966541655589925</v>
      </c>
    </row>
    <row r="448" spans="1:34" x14ac:dyDescent="0.2">
      <c r="A448" s="347">
        <f t="shared" ca="1" si="180"/>
        <v>0.1</v>
      </c>
      <c r="B448" s="304">
        <f t="shared" ca="1" si="181"/>
        <v>12.399999999999899</v>
      </c>
      <c r="D448" s="306">
        <f t="shared" ca="1" si="182"/>
        <v>-1.9942061651877394</v>
      </c>
      <c r="E448" s="307">
        <f t="shared" ca="1" si="183"/>
        <v>-20.341551714152523</v>
      </c>
      <c r="F448" s="304">
        <f t="shared" ca="1" si="184"/>
        <v>20.439070046575363</v>
      </c>
      <c r="G448" s="306">
        <f t="shared" ca="1" si="185"/>
        <v>36.313992062989719</v>
      </c>
      <c r="H448" s="307">
        <f t="shared" ca="1" si="186"/>
        <v>190.7959045321833</v>
      </c>
      <c r="I448" s="304">
        <f t="shared" ca="1" si="187"/>
        <v>194.22096489772903</v>
      </c>
      <c r="J448" s="306">
        <f t="shared" ca="1" si="188"/>
        <v>395.65462739739371</v>
      </c>
      <c r="K448" s="307">
        <f t="shared" ca="1" si="189"/>
        <v>2546.6073920852223</v>
      </c>
      <c r="L448" s="304">
        <f t="shared" ca="1" si="174"/>
        <v>2577.1596368102746</v>
      </c>
      <c r="M448" s="306">
        <f t="shared" ca="1" si="190"/>
        <v>1.382716870880458</v>
      </c>
      <c r="N448" s="304">
        <f t="shared" ca="1" si="191"/>
        <v>79.223840962985847</v>
      </c>
      <c r="P448" s="310">
        <f t="shared" ca="1" si="192"/>
        <v>23</v>
      </c>
      <c r="Q448" s="304">
        <f t="shared" ca="1" si="193"/>
        <v>0</v>
      </c>
      <c r="R448" s="306">
        <f t="shared" ca="1" si="194"/>
        <v>0</v>
      </c>
      <c r="S448" s="307">
        <f t="shared" ca="1" si="195"/>
        <v>5.6519999999999806</v>
      </c>
      <c r="T448" s="304">
        <f t="shared" ca="1" si="175"/>
        <v>55.446119999999816</v>
      </c>
      <c r="U448" s="311">
        <f t="shared" ca="1" si="176"/>
        <v>0</v>
      </c>
      <c r="V448" s="306">
        <f t="shared" ca="1" si="177"/>
        <v>0.94827596777158585</v>
      </c>
      <c r="W448" s="304">
        <f t="shared" ca="1" si="178"/>
        <v>59.21626660474891</v>
      </c>
      <c r="Y448" s="314" t="str">
        <f t="shared" ca="1" si="196"/>
        <v/>
      </c>
      <c r="Z448" s="315" t="str">
        <f t="shared" ca="1" si="197"/>
        <v/>
      </c>
      <c r="AA448" s="316" t="str">
        <f t="shared" ca="1" si="198"/>
        <v/>
      </c>
      <c r="AC448" s="310" t="e">
        <f t="shared" ca="1" si="199"/>
        <v>#N/A</v>
      </c>
      <c r="AD448" s="323" t="e">
        <f t="shared" ca="1" si="200"/>
        <v>#N/A</v>
      </c>
      <c r="AE448" s="324">
        <f t="shared" ca="1" si="179"/>
        <v>2546.6073920852223</v>
      </c>
      <c r="AG448" s="306">
        <f t="shared" ca="1" si="201"/>
        <v>-20.357417175046233</v>
      </c>
      <c r="AH448" s="304">
        <f t="shared" ca="1" si="202"/>
        <v>-10.718695803927906</v>
      </c>
    </row>
    <row r="449" spans="1:34" x14ac:dyDescent="0.2">
      <c r="A449" s="347">
        <f t="shared" ca="1" si="180"/>
        <v>0.1</v>
      </c>
      <c r="B449" s="304">
        <f t="shared" ca="1" si="181"/>
        <v>12.499999999999899</v>
      </c>
      <c r="D449" s="306">
        <f t="shared" ca="1" si="182"/>
        <v>-1.9589202549517861</v>
      </c>
      <c r="E449" s="307">
        <f t="shared" ca="1" si="183"/>
        <v>-20.102285169353816</v>
      </c>
      <c r="F449" s="304">
        <f t="shared" ca="1" si="184"/>
        <v>20.197505727076368</v>
      </c>
      <c r="G449" s="306">
        <f t="shared" ca="1" si="185"/>
        <v>36.118100037494543</v>
      </c>
      <c r="H449" s="307">
        <f t="shared" ca="1" si="186"/>
        <v>188.78567601524793</v>
      </c>
      <c r="I449" s="304">
        <f t="shared" ca="1" si="187"/>
        <v>192.20964756965927</v>
      </c>
      <c r="J449" s="306">
        <f t="shared" ca="1" si="188"/>
        <v>399.27623200241794</v>
      </c>
      <c r="K449" s="307">
        <f t="shared" ca="1" si="189"/>
        <v>2565.5864711125937</v>
      </c>
      <c r="L449" s="304">
        <f t="shared" ca="1" si="174"/>
        <v>2596.4698053699799</v>
      </c>
      <c r="M449" s="306">
        <f t="shared" ca="1" si="190"/>
        <v>1.3817625997664804</v>
      </c>
      <c r="N449" s="304">
        <f t="shared" ca="1" si="191"/>
        <v>79.169165255643676</v>
      </c>
      <c r="P449" s="310">
        <f t="shared" ca="1" si="192"/>
        <v>23</v>
      </c>
      <c r="Q449" s="304">
        <f t="shared" ca="1" si="193"/>
        <v>0</v>
      </c>
      <c r="R449" s="306">
        <f t="shared" ca="1" si="194"/>
        <v>0</v>
      </c>
      <c r="S449" s="307">
        <f t="shared" ca="1" si="195"/>
        <v>5.6519999999999806</v>
      </c>
      <c r="T449" s="304">
        <f t="shared" ca="1" si="175"/>
        <v>55.446119999999816</v>
      </c>
      <c r="U449" s="311">
        <f t="shared" ca="1" si="176"/>
        <v>0</v>
      </c>
      <c r="V449" s="306">
        <f t="shared" ca="1" si="177"/>
        <v>0.94644810584593064</v>
      </c>
      <c r="W449" s="304">
        <f t="shared" ca="1" si="178"/>
        <v>57.884359903313161</v>
      </c>
      <c r="Y449" s="314" t="str">
        <f t="shared" ca="1" si="196"/>
        <v/>
      </c>
      <c r="Z449" s="315" t="str">
        <f t="shared" ca="1" si="197"/>
        <v/>
      </c>
      <c r="AA449" s="316" t="str">
        <f t="shared" ca="1" si="198"/>
        <v/>
      </c>
      <c r="AC449" s="310" t="e">
        <f t="shared" ca="1" si="199"/>
        <v>#N/A</v>
      </c>
      <c r="AD449" s="323" t="e">
        <f t="shared" ca="1" si="200"/>
        <v>#N/A</v>
      </c>
      <c r="AE449" s="324">
        <f t="shared" ca="1" si="179"/>
        <v>2565.5864711125937</v>
      </c>
      <c r="AG449" s="306">
        <f t="shared" ca="1" si="201"/>
        <v>-20.114048443216149</v>
      </c>
      <c r="AH449" s="304">
        <f t="shared" ca="1" si="202"/>
        <v>-10.477046462269836</v>
      </c>
    </row>
    <row r="450" spans="1:34" x14ac:dyDescent="0.2">
      <c r="A450" s="347">
        <f t="shared" ca="1" si="180"/>
        <v>0.1</v>
      </c>
      <c r="B450" s="304">
        <f t="shared" ca="1" si="181"/>
        <v>12.599999999999898</v>
      </c>
      <c r="D450" s="306">
        <f t="shared" ca="1" si="182"/>
        <v>-1.9244595897275092</v>
      </c>
      <c r="E450" s="307">
        <f t="shared" ca="1" si="183"/>
        <v>-19.868956706847221</v>
      </c>
      <c r="F450" s="304">
        <f t="shared" ca="1" si="184"/>
        <v>19.961938416172497</v>
      </c>
      <c r="G450" s="306">
        <f t="shared" ca="1" si="185"/>
        <v>35.925654078521795</v>
      </c>
      <c r="H450" s="307">
        <f t="shared" ca="1" si="186"/>
        <v>186.7987803445632</v>
      </c>
      <c r="I450" s="304">
        <f t="shared" ca="1" si="187"/>
        <v>190.22207274442675</v>
      </c>
      <c r="J450" s="306">
        <f t="shared" ca="1" si="188"/>
        <v>402.87841970821876</v>
      </c>
      <c r="K450" s="307">
        <f t="shared" ca="1" si="189"/>
        <v>2584.3656939305843</v>
      </c>
      <c r="L450" s="304">
        <f t="shared" ca="1" si="174"/>
        <v>2615.5796797329463</v>
      </c>
      <c r="M450" s="306">
        <f t="shared" ca="1" si="190"/>
        <v>1.3807935236731217</v>
      </c>
      <c r="N450" s="304">
        <f t="shared" ca="1" si="191"/>
        <v>79.113641285467196</v>
      </c>
      <c r="P450" s="310">
        <f t="shared" ca="1" si="192"/>
        <v>23</v>
      </c>
      <c r="Q450" s="304">
        <f t="shared" ca="1" si="193"/>
        <v>0</v>
      </c>
      <c r="R450" s="306">
        <f t="shared" ca="1" si="194"/>
        <v>0</v>
      </c>
      <c r="S450" s="307">
        <f t="shared" ca="1" si="195"/>
        <v>5.6519999999999806</v>
      </c>
      <c r="T450" s="304">
        <f t="shared" ca="1" si="175"/>
        <v>55.446119999999816</v>
      </c>
      <c r="U450" s="311">
        <f t="shared" ca="1" si="176"/>
        <v>0</v>
      </c>
      <c r="V450" s="306">
        <f t="shared" ca="1" si="177"/>
        <v>0.94464251571468594</v>
      </c>
      <c r="W450" s="304">
        <f t="shared" ca="1" si="178"/>
        <v>56.585267233185697</v>
      </c>
      <c r="Y450" s="314" t="str">
        <f t="shared" ca="1" si="196"/>
        <v/>
      </c>
      <c r="Z450" s="315" t="str">
        <f t="shared" ca="1" si="197"/>
        <v/>
      </c>
      <c r="AA450" s="316" t="str">
        <f t="shared" ca="1" si="198"/>
        <v/>
      </c>
      <c r="AC450" s="310" t="e">
        <f t="shared" ca="1" si="199"/>
        <v>#N/A</v>
      </c>
      <c r="AD450" s="323" t="e">
        <f t="shared" ca="1" si="200"/>
        <v>#N/A</v>
      </c>
      <c r="AE450" s="324">
        <f t="shared" ca="1" si="179"/>
        <v>2584.3656939305843</v>
      </c>
      <c r="AG450" s="306">
        <f t="shared" ca="1" si="201"/>
        <v>-19.876641448058162</v>
      </c>
      <c r="AH450" s="304">
        <f t="shared" ca="1" si="202"/>
        <v>-10.241394179637892</v>
      </c>
    </row>
    <row r="451" spans="1:34" x14ac:dyDescent="0.2">
      <c r="A451" s="347">
        <f t="shared" ca="1" si="180"/>
        <v>0.1</v>
      </c>
      <c r="B451" s="304">
        <f t="shared" ca="1" si="181"/>
        <v>12.699999999999898</v>
      </c>
      <c r="D451" s="306">
        <f t="shared" ca="1" si="182"/>
        <v>-1.8907973819102721</v>
      </c>
      <c r="E451" s="307">
        <f t="shared" ca="1" si="183"/>
        <v>-19.641376877580427</v>
      </c>
      <c r="F451" s="304">
        <f t="shared" ca="1" si="184"/>
        <v>19.73217677770473</v>
      </c>
      <c r="G451" s="306">
        <f t="shared" ca="1" si="185"/>
        <v>35.736574340330769</v>
      </c>
      <c r="H451" s="307">
        <f t="shared" ca="1" si="186"/>
        <v>184.83464265680516</v>
      </c>
      <c r="I451" s="304">
        <f t="shared" ca="1" si="187"/>
        <v>188.25766351373548</v>
      </c>
      <c r="J451" s="306">
        <f t="shared" ca="1" si="188"/>
        <v>406.46153112916136</v>
      </c>
      <c r="K451" s="307">
        <f t="shared" ca="1" si="189"/>
        <v>2602.9473650806526</v>
      </c>
      <c r="L451" s="304">
        <f t="shared" ca="1" si="174"/>
        <v>2634.491594533597</v>
      </c>
      <c r="M451" s="306">
        <f t="shared" ca="1" si="190"/>
        <v>1.3798093761871846</v>
      </c>
      <c r="N451" s="304">
        <f t="shared" ca="1" si="191"/>
        <v>79.057253788104589</v>
      </c>
      <c r="P451" s="310">
        <f t="shared" ca="1" si="192"/>
        <v>23</v>
      </c>
      <c r="Q451" s="304">
        <f t="shared" ca="1" si="193"/>
        <v>0</v>
      </c>
      <c r="R451" s="306">
        <f t="shared" ca="1" si="194"/>
        <v>0</v>
      </c>
      <c r="S451" s="307">
        <f t="shared" ca="1" si="195"/>
        <v>5.6519999999999806</v>
      </c>
      <c r="T451" s="304">
        <f t="shared" ca="1" si="175"/>
        <v>55.446119999999816</v>
      </c>
      <c r="U451" s="311">
        <f t="shared" ca="1" si="176"/>
        <v>0</v>
      </c>
      <c r="V451" s="306">
        <f t="shared" ca="1" si="177"/>
        <v>0.94285887294062432</v>
      </c>
      <c r="W451" s="304">
        <f t="shared" ca="1" si="178"/>
        <v>55.317950961540127</v>
      </c>
      <c r="Y451" s="314" t="str">
        <f t="shared" ca="1" si="196"/>
        <v/>
      </c>
      <c r="Z451" s="315" t="str">
        <f t="shared" ca="1" si="197"/>
        <v/>
      </c>
      <c r="AA451" s="316" t="str">
        <f t="shared" ca="1" si="198"/>
        <v/>
      </c>
      <c r="AC451" s="310" t="e">
        <f t="shared" ca="1" si="199"/>
        <v>#N/A</v>
      </c>
      <c r="AD451" s="323" t="e">
        <f t="shared" ca="1" si="200"/>
        <v>#N/A</v>
      </c>
      <c r="AE451" s="324">
        <f t="shared" ca="1" si="179"/>
        <v>2602.9473650806526</v>
      </c>
      <c r="AG451" s="306">
        <f t="shared" ca="1" si="201"/>
        <v>-19.645003988132068</v>
      </c>
      <c r="AH451" s="304">
        <f t="shared" ca="1" si="202"/>
        <v>-10.01154763502935</v>
      </c>
    </row>
    <row r="452" spans="1:34" x14ac:dyDescent="0.2">
      <c r="A452" s="347">
        <f t="shared" ca="1" si="180"/>
        <v>0.1</v>
      </c>
      <c r="B452" s="304">
        <f t="shared" ca="1" si="181"/>
        <v>12.799999999999898</v>
      </c>
      <c r="D452" s="306">
        <f t="shared" ca="1" si="182"/>
        <v>-1.8579079230465145</v>
      </c>
      <c r="E452" s="307">
        <f t="shared" ca="1" si="183"/>
        <v>-19.419363890763208</v>
      </c>
      <c r="F452" s="304">
        <f t="shared" ca="1" si="184"/>
        <v>19.508037209632263</v>
      </c>
      <c r="G452" s="306">
        <f t="shared" ca="1" si="185"/>
        <v>35.550783548026118</v>
      </c>
      <c r="H452" s="307">
        <f t="shared" ca="1" si="186"/>
        <v>182.89270626772884</v>
      </c>
      <c r="I452" s="304">
        <f t="shared" ca="1" si="187"/>
        <v>186.31586142036417</v>
      </c>
      <c r="J452" s="306">
        <f t="shared" ca="1" si="188"/>
        <v>410.0258990235792</v>
      </c>
      <c r="K452" s="307">
        <f t="shared" ca="1" si="189"/>
        <v>2621.3337325268794</v>
      </c>
      <c r="L452" s="304">
        <f t="shared" ref="L452:L515" ca="1" si="203">SQRT(pos_x^2+pos_z^2)</f>
        <v>2653.2078273579314</v>
      </c>
      <c r="M452" s="306">
        <f t="shared" ca="1" si="190"/>
        <v>1.378809883764786</v>
      </c>
      <c r="N452" s="304">
        <f t="shared" ca="1" si="191"/>
        <v>78.999987090645845</v>
      </c>
      <c r="P452" s="310">
        <f t="shared" ca="1" si="192"/>
        <v>23</v>
      </c>
      <c r="Q452" s="304">
        <f t="shared" ca="1" si="193"/>
        <v>0</v>
      </c>
      <c r="R452" s="306">
        <f t="shared" ca="1" si="194"/>
        <v>0</v>
      </c>
      <c r="S452" s="307">
        <f t="shared" ca="1" si="195"/>
        <v>5.6519999999999806</v>
      </c>
      <c r="T452" s="304">
        <f t="shared" ref="T452:T515" ca="1" si="204">m*g</f>
        <v>55.446119999999816</v>
      </c>
      <c r="U452" s="311">
        <f t="shared" ref="U452:U515" ca="1" si="205">IF(pos_xz&lt;L_rampe,Poids*COS(Beta),0)</f>
        <v>0</v>
      </c>
      <c r="V452" s="306">
        <f t="shared" ref="V452:V515" ca="1" si="206">Rho_moyen*(20000-Alt_rampe-pos_z)/(20000+Alt_rampe+pos_z)</f>
        <v>0.9410968614570957</v>
      </c>
      <c r="W452" s="304">
        <f t="shared" ref="W452:W515" ca="1" si="207">1/2*Rho*Sref*Cx*vit_xz^2</f>
        <v>54.081415058654343</v>
      </c>
      <c r="Y452" s="314" t="str">
        <f t="shared" ca="1" si="196"/>
        <v/>
      </c>
      <c r="Z452" s="315" t="str">
        <f t="shared" ca="1" si="197"/>
        <v/>
      </c>
      <c r="AA452" s="316" t="str">
        <f t="shared" ca="1" si="198"/>
        <v/>
      </c>
      <c r="AC452" s="310" t="e">
        <f t="shared" ca="1" si="199"/>
        <v>#N/A</v>
      </c>
      <c r="AD452" s="323" t="e">
        <f t="shared" ca="1" si="200"/>
        <v>#N/A</v>
      </c>
      <c r="AE452" s="324">
        <f t="shared" ref="AE452:AE515" ca="1" si="208">IF(t&lt;T_para, pos_z, NA())</f>
        <v>2621.3337325268794</v>
      </c>
      <c r="AG452" s="306">
        <f t="shared" ca="1" si="201"/>
        <v>-19.418951567485038</v>
      </c>
      <c r="AH452" s="304">
        <f t="shared" ca="1" si="202"/>
        <v>-9.787323241603028</v>
      </c>
    </row>
    <row r="453" spans="1:34" x14ac:dyDescent="0.2">
      <c r="A453" s="347">
        <f t="shared" ref="A453:A516" ca="1" si="209">IF(B452+0.01&lt;=T_ini+ROUNDUP(Temps_fin_propu,0), 0.01, IF(K452&gt;0, 0.1, 0.0001))</f>
        <v>0.1</v>
      </c>
      <c r="B453" s="304">
        <f t="shared" ref="B453:B516" ca="1" si="210">B452+pas</f>
        <v>12.899999999999897</v>
      </c>
      <c r="D453" s="306">
        <f t="shared" ref="D453:D516" ca="1" si="211">IF(AND(L452&lt;L_rampe,Poussee&lt;Poids*SIN(M452)),0,(-W452+Poussee)/m*COS(M452)-U452/m*SIN(M452))</f>
        <v>-1.8257665316935348</v>
      </c>
      <c r="E453" s="307">
        <f t="shared" ref="E453:E516" ca="1" si="212">IF(AND(L452&lt;L_rampe,Poussee&lt;Poids*SIN(M452)),0,(-W452+Poussee)/m*SIN(M452)+U452/m*COS(M452)-Poids/m)</f>
        <v>-19.202743244136347</v>
      </c>
      <c r="F453" s="304">
        <f t="shared" ref="F453:F516" ca="1" si="213">SQRT(acc_x^2+acc_z^2)</f>
        <v>19.289343470643999</v>
      </c>
      <c r="G453" s="306">
        <f t="shared" ref="G453:G516" ca="1" si="214">G452+acc_x*pas</f>
        <v>35.368206894856762</v>
      </c>
      <c r="H453" s="307">
        <f t="shared" ref="H453:H516" ca="1" si="215">H452+acc_z*pas</f>
        <v>180.9724319433152</v>
      </c>
      <c r="I453" s="304">
        <f t="shared" ref="I453:I516" ca="1" si="216">SQRT(vit_x^2+vit_z^2)</f>
        <v>184.39612572512266</v>
      </c>
      <c r="J453" s="306">
        <f t="shared" ref="J453:J516" ca="1" si="217">J452+0.5*(vit_x+G452)*pas*(K452&gt;=0)</f>
        <v>413.57184854572336</v>
      </c>
      <c r="K453" s="307">
        <f t="shared" ref="K453:K516" ca="1" si="218">K452+0.5*(vit_z+H452)*pas</f>
        <v>2639.5269894374314</v>
      </c>
      <c r="L453" s="304">
        <f t="shared" ca="1" si="203"/>
        <v>2671.7306005430555</v>
      </c>
      <c r="M453" s="306">
        <f t="shared" ref="M453:M516" ca="1" si="219">IF(AND(L452&gt;L_rampe,G453&gt;0),ATAN2(G453,H453),$M$4)</f>
        <v>1.3777947655086678</v>
      </c>
      <c r="N453" s="304">
        <f t="shared" ref="N453:N516" ca="1" si="220">DEGREES(Beta)</f>
        <v>78.941825098863589</v>
      </c>
      <c r="P453" s="310">
        <f t="shared" ref="P453:P516" ca="1" si="221">MATCH(t-pas/2-T_ini,CdP_t)</f>
        <v>23</v>
      </c>
      <c r="Q453" s="304">
        <f t="shared" ref="Q453:Q516" ca="1" si="222">(INDEX(CdP,2,i_P+1)-INDEX(CdP,2,i_P+0))/(INDEX(CdP,1,i_P+1)-INDEX(CdP,1,i_P+0))*(t-pas/2-T_ini-INDEX(CdP,1,i_P+0))+INDEX(CdP,2,i_P+0)</f>
        <v>0</v>
      </c>
      <c r="R453" s="306">
        <f t="shared" ref="R453:R516" ca="1" si="223">Poussee/(g*ISP)</f>
        <v>0</v>
      </c>
      <c r="S453" s="307">
        <f t="shared" ref="S453:S516" ca="1" si="224">S452-Débit*pas</f>
        <v>5.6519999999999806</v>
      </c>
      <c r="T453" s="304">
        <f t="shared" ca="1" si="204"/>
        <v>55.446119999999816</v>
      </c>
      <c r="U453" s="311">
        <f t="shared" ca="1" si="205"/>
        <v>0</v>
      </c>
      <c r="V453" s="306">
        <f t="shared" ca="1" si="206"/>
        <v>0.93935617329201093</v>
      </c>
      <c r="W453" s="304">
        <f t="shared" ca="1" si="207"/>
        <v>52.874703106125089</v>
      </c>
      <c r="Y453" s="314" t="str">
        <f t="shared" ref="Y453:Y516" ca="1" si="225">IF(AND(pos_z&lt;=0,K452&gt;0),"Impact balistique","") &amp; IF(AND(H454&lt;0,vit_z&gt;=0),"Apogée","") &amp; IF(AND(Poussee=0,Q452&gt;0),"Fin de propulsion","") &amp; IF(AND(L454&gt;L_rampe,pos_xz&lt;=L_rampe),"Sortie de rampe","")</f>
        <v/>
      </c>
      <c r="Z453" s="315" t="str">
        <f t="shared" ref="Z453:Z516" ca="1" si="226">IF(ABS(t-T_para)&lt;pas/2,"Para","")</f>
        <v/>
      </c>
      <c r="AA453" s="316" t="str">
        <f t="shared" ref="AA453:AA516" ca="1" si="227">IF(ABS(t-T_satellite)&lt;pas/2,"Satellite","")</f>
        <v/>
      </c>
      <c r="AC453" s="310" t="e">
        <f t="shared" ref="AC453:AC516" ca="1" si="228">IF(ABS(t-ROUND(t,0))&lt;0.001,t,NA())</f>
        <v>#N/A</v>
      </c>
      <c r="AD453" s="323" t="e">
        <f t="shared" ref="AD453:AD516" ca="1" si="229">IF(ABS(t-ROUND(t,0))&lt;0.001,pos_x,NA())</f>
        <v>#N/A</v>
      </c>
      <c r="AE453" s="324">
        <f t="shared" ca="1" si="208"/>
        <v>2639.5269894374314</v>
      </c>
      <c r="AG453" s="306">
        <f t="shared" ref="AG453:AG516" ca="1" si="230">IF(AND(L452&lt;L_rampe,Poussee&lt;Poids*SIN(M452)),0,(-W452+Poussee)/m-Poids*SIN(M452)/m)</f>
        <v>-19.198307021169981</v>
      </c>
      <c r="AH453" s="304">
        <f t="shared" ref="AH453:AH516" ca="1" si="231">IF(AND(L452&lt;L_rampe,Poussee&lt;Poids*SIN(M452)), g*SIN(M452), (-W452+Poussee)/m)</f>
        <v>-9.568544773293441</v>
      </c>
    </row>
    <row r="454" spans="1:34" x14ac:dyDescent="0.2">
      <c r="A454" s="347">
        <f t="shared" ca="1" si="209"/>
        <v>0.1</v>
      </c>
      <c r="B454" s="304">
        <f t="shared" ca="1" si="210"/>
        <v>12.999999999999897</v>
      </c>
      <c r="D454" s="306">
        <f t="shared" ca="1" si="211"/>
        <v>-1.7943495042099016</v>
      </c>
      <c r="E454" s="307">
        <f t="shared" ca="1" si="212"/>
        <v>-18.9913473750169</v>
      </c>
      <c r="F454" s="304">
        <f t="shared" ca="1" si="213"/>
        <v>19.07592632775194</v>
      </c>
      <c r="G454" s="306">
        <f t="shared" ca="1" si="214"/>
        <v>35.188771944435771</v>
      </c>
      <c r="H454" s="307">
        <f t="shared" ca="1" si="215"/>
        <v>179.0732972058135</v>
      </c>
      <c r="I454" s="304">
        <f t="shared" ca="1" si="216"/>
        <v>182.49793270916558</v>
      </c>
      <c r="J454" s="306">
        <f t="shared" ca="1" si="217"/>
        <v>417.09969748768799</v>
      </c>
      <c r="K454" s="307">
        <f t="shared" ca="1" si="218"/>
        <v>2657.5292758948881</v>
      </c>
      <c r="L454" s="304">
        <f t="shared" ca="1" si="203"/>
        <v>2690.0620829049149</v>
      </c>
      <c r="M454" s="306">
        <f t="shared" ca="1" si="219"/>
        <v>1.3767637329368916</v>
      </c>
      <c r="N454" s="304">
        <f t="shared" ca="1" si="220"/>
        <v>78.882751283960289</v>
      </c>
      <c r="P454" s="310">
        <f t="shared" ca="1" si="221"/>
        <v>23</v>
      </c>
      <c r="Q454" s="304">
        <f t="shared" ca="1" si="222"/>
        <v>0</v>
      </c>
      <c r="R454" s="306">
        <f t="shared" ca="1" si="223"/>
        <v>0</v>
      </c>
      <c r="S454" s="307">
        <f t="shared" ca="1" si="224"/>
        <v>5.6519999999999806</v>
      </c>
      <c r="T454" s="304">
        <f t="shared" ca="1" si="204"/>
        <v>55.446119999999816</v>
      </c>
      <c r="U454" s="311">
        <f t="shared" ca="1" si="205"/>
        <v>0</v>
      </c>
      <c r="V454" s="306">
        <f t="shared" ca="1" si="206"/>
        <v>0.93763650830325052</v>
      </c>
      <c r="W454" s="304">
        <f t="shared" ca="1" si="207"/>
        <v>51.696896416094141</v>
      </c>
      <c r="Y454" s="314" t="str">
        <f t="shared" ca="1" si="225"/>
        <v/>
      </c>
      <c r="Z454" s="315" t="str">
        <f t="shared" ca="1" si="226"/>
        <v/>
      </c>
      <c r="AA454" s="316" t="str">
        <f t="shared" ca="1" si="227"/>
        <v/>
      </c>
      <c r="AC454" s="310">
        <f t="shared" ca="1" si="228"/>
        <v>12.999999999999897</v>
      </c>
      <c r="AD454" s="323">
        <f t="shared" ca="1" si="229"/>
        <v>417.09969748768799</v>
      </c>
      <c r="AE454" s="324">
        <f t="shared" ca="1" si="208"/>
        <v>2657.5292758948881</v>
      </c>
      <c r="AG454" s="306">
        <f t="shared" ca="1" si="230"/>
        <v>-18.98290016169674</v>
      </c>
      <c r="AH454" s="304">
        <f t="shared" ca="1" si="231"/>
        <v>-9.35504301240716</v>
      </c>
    </row>
    <row r="455" spans="1:34" x14ac:dyDescent="0.2">
      <c r="A455" s="347">
        <f t="shared" ca="1" si="209"/>
        <v>0.1</v>
      </c>
      <c r="B455" s="304">
        <f t="shared" ca="1" si="210"/>
        <v>13.099999999999897</v>
      </c>
      <c r="D455" s="306">
        <f t="shared" ca="1" si="211"/>
        <v>-1.7636340682892011</v>
      </c>
      <c r="E455" s="307">
        <f t="shared" ca="1" si="212"/>
        <v>-18.785015330791879</v>
      </c>
      <c r="F455" s="304">
        <f t="shared" ca="1" si="213"/>
        <v>18.867623223525431</v>
      </c>
      <c r="G455" s="306">
        <f t="shared" ca="1" si="214"/>
        <v>35.012408537606852</v>
      </c>
      <c r="H455" s="307">
        <f t="shared" ca="1" si="215"/>
        <v>177.1947956727343</v>
      </c>
      <c r="I455" s="304">
        <f t="shared" ca="1" si="216"/>
        <v>180.62077500970463</v>
      </c>
      <c r="J455" s="306">
        <f t="shared" ca="1" si="217"/>
        <v>420.60975651179012</v>
      </c>
      <c r="K455" s="307">
        <f t="shared" ca="1" si="218"/>
        <v>2675.3426805388153</v>
      </c>
      <c r="L455" s="304">
        <f t="shared" ca="1" si="203"/>
        <v>2708.2043913976509</v>
      </c>
      <c r="M455" s="306">
        <f t="shared" ca="1" si="219"/>
        <v>1.3757164897425345</v>
      </c>
      <c r="N455" s="304">
        <f t="shared" ca="1" si="220"/>
        <v>78.822748668799832</v>
      </c>
      <c r="P455" s="310">
        <f t="shared" ca="1" si="221"/>
        <v>23</v>
      </c>
      <c r="Q455" s="304">
        <f t="shared" ca="1" si="222"/>
        <v>0</v>
      </c>
      <c r="R455" s="306">
        <f t="shared" ca="1" si="223"/>
        <v>0</v>
      </c>
      <c r="S455" s="307">
        <f t="shared" ca="1" si="224"/>
        <v>5.6519999999999806</v>
      </c>
      <c r="T455" s="304">
        <f t="shared" ca="1" si="204"/>
        <v>55.446119999999816</v>
      </c>
      <c r="U455" s="311">
        <f t="shared" ca="1" si="205"/>
        <v>0</v>
      </c>
      <c r="V455" s="306">
        <f t="shared" ca="1" si="206"/>
        <v>0.9359375739249316</v>
      </c>
      <c r="W455" s="304">
        <f t="shared" ca="1" si="207"/>
        <v>50.547112254447725</v>
      </c>
      <c r="Y455" s="314" t="str">
        <f t="shared" ca="1" si="225"/>
        <v/>
      </c>
      <c r="Z455" s="315" t="str">
        <f t="shared" ca="1" si="226"/>
        <v/>
      </c>
      <c r="AA455" s="316" t="str">
        <f t="shared" ca="1" si="227"/>
        <v/>
      </c>
      <c r="AC455" s="310" t="e">
        <f t="shared" ca="1" si="228"/>
        <v>#N/A</v>
      </c>
      <c r="AD455" s="323" t="e">
        <f t="shared" ca="1" si="229"/>
        <v>#N/A</v>
      </c>
      <c r="AE455" s="324">
        <f t="shared" ca="1" si="208"/>
        <v>2675.3426805388153</v>
      </c>
      <c r="AG455" s="306">
        <f t="shared" ca="1" si="230"/>
        <v>-18.772567445072553</v>
      </c>
      <c r="AH455" s="304">
        <f t="shared" ca="1" si="231"/>
        <v>-9.1466554168602823</v>
      </c>
    </row>
    <row r="456" spans="1:34" x14ac:dyDescent="0.2">
      <c r="A456" s="347">
        <f t="shared" ca="1" si="209"/>
        <v>0.1</v>
      </c>
      <c r="B456" s="304">
        <f t="shared" ca="1" si="210"/>
        <v>13.199999999999896</v>
      </c>
      <c r="D456" s="306">
        <f t="shared" ca="1" si="211"/>
        <v>-1.7335983390632912</v>
      </c>
      <c r="E456" s="307">
        <f t="shared" ca="1" si="212"/>
        <v>-18.583592457627255</v>
      </c>
      <c r="F456" s="304">
        <f t="shared" ca="1" si="213"/>
        <v>18.664277961720984</v>
      </c>
      <c r="G456" s="306">
        <f t="shared" ca="1" si="214"/>
        <v>34.83904870370052</v>
      </c>
      <c r="H456" s="307">
        <f t="shared" ca="1" si="215"/>
        <v>175.33643642697157</v>
      </c>
      <c r="I456" s="304">
        <f t="shared" ca="1" si="216"/>
        <v>178.76416098728586</v>
      </c>
      <c r="J456" s="306">
        <f t="shared" ca="1" si="217"/>
        <v>424.10232937385547</v>
      </c>
      <c r="K456" s="307">
        <f t="shared" ca="1" si="218"/>
        <v>2692.9692421438008</v>
      </c>
      <c r="L456" s="304">
        <f t="shared" ca="1" si="203"/>
        <v>2726.1595927078238</v>
      </c>
      <c r="M456" s="306">
        <f t="shared" ca="1" si="219"/>
        <v>1.3746527315439951</v>
      </c>
      <c r="N456" s="304">
        <f t="shared" ca="1" si="220"/>
        <v>78.761799813601087</v>
      </c>
      <c r="P456" s="310">
        <f t="shared" ca="1" si="221"/>
        <v>23</v>
      </c>
      <c r="Q456" s="304">
        <f t="shared" ca="1" si="222"/>
        <v>0</v>
      </c>
      <c r="R456" s="306">
        <f t="shared" ca="1" si="223"/>
        <v>0</v>
      </c>
      <c r="S456" s="307">
        <f t="shared" ca="1" si="224"/>
        <v>5.6519999999999806</v>
      </c>
      <c r="T456" s="304">
        <f t="shared" ca="1" si="204"/>
        <v>55.446119999999816</v>
      </c>
      <c r="U456" s="311">
        <f t="shared" ca="1" si="205"/>
        <v>0</v>
      </c>
      <c r="V456" s="306">
        <f t="shared" ca="1" si="206"/>
        <v>0.93425908492400433</v>
      </c>
      <c r="W456" s="304">
        <f t="shared" ca="1" si="207"/>
        <v>49.424502161451166</v>
      </c>
      <c r="Y456" s="314" t="str">
        <f t="shared" ca="1" si="225"/>
        <v/>
      </c>
      <c r="Z456" s="315" t="str">
        <f t="shared" ca="1" si="226"/>
        <v/>
      </c>
      <c r="AA456" s="316" t="str">
        <f t="shared" ca="1" si="227"/>
        <v/>
      </c>
      <c r="AC456" s="310" t="e">
        <f t="shared" ca="1" si="228"/>
        <v>#N/A</v>
      </c>
      <c r="AD456" s="323" t="e">
        <f t="shared" ca="1" si="229"/>
        <v>#N/A</v>
      </c>
      <c r="AE456" s="324">
        <f t="shared" ca="1" si="208"/>
        <v>2692.9692421438008</v>
      </c>
      <c r="AG456" s="306">
        <f t="shared" ca="1" si="230"/>
        <v>-18.567151655183856</v>
      </c>
      <c r="AH456" s="304">
        <f t="shared" ca="1" si="231"/>
        <v>-8.9432258058117302</v>
      </c>
    </row>
    <row r="457" spans="1:34" x14ac:dyDescent="0.2">
      <c r="A457" s="347">
        <f t="shared" ca="1" si="209"/>
        <v>0.1</v>
      </c>
      <c r="B457" s="304">
        <f t="shared" ca="1" si="210"/>
        <v>13.299999999999896</v>
      </c>
      <c r="D457" s="306">
        <f t="shared" ca="1" si="211"/>
        <v>-1.7042212776134893</v>
      </c>
      <c r="E457" s="307">
        <f t="shared" ca="1" si="212"/>
        <v>-18.386930106246872</v>
      </c>
      <c r="F457" s="304">
        <f t="shared" ca="1" si="213"/>
        <v>18.465740410150854</v>
      </c>
      <c r="G457" s="306">
        <f t="shared" ca="1" si="214"/>
        <v>34.668626575939172</v>
      </c>
      <c r="H457" s="307">
        <f t="shared" ca="1" si="215"/>
        <v>173.49774341634688</v>
      </c>
      <c r="I457" s="304">
        <f t="shared" ca="1" si="216"/>
        <v>176.92761412291313</v>
      </c>
      <c r="J457" s="306">
        <f t="shared" ca="1" si="217"/>
        <v>427.57771313783746</v>
      </c>
      <c r="K457" s="307">
        <f t="shared" ca="1" si="218"/>
        <v>2710.4109511359666</v>
      </c>
      <c r="L457" s="304">
        <f t="shared" ca="1" si="203"/>
        <v>2743.9297047865416</v>
      </c>
      <c r="M457" s="306">
        <f t="shared" ca="1" si="219"/>
        <v>1.3735721456254915</v>
      </c>
      <c r="N457" s="304">
        <f t="shared" ca="1" si="220"/>
        <v>78.699886801069567</v>
      </c>
      <c r="P457" s="310">
        <f t="shared" ca="1" si="221"/>
        <v>23</v>
      </c>
      <c r="Q457" s="304">
        <f t="shared" ca="1" si="222"/>
        <v>0</v>
      </c>
      <c r="R457" s="306">
        <f t="shared" ca="1" si="223"/>
        <v>0</v>
      </c>
      <c r="S457" s="307">
        <f t="shared" ca="1" si="224"/>
        <v>5.6519999999999806</v>
      </c>
      <c r="T457" s="304">
        <f t="shared" ca="1" si="204"/>
        <v>55.446119999999816</v>
      </c>
      <c r="U457" s="311">
        <f t="shared" ca="1" si="205"/>
        <v>0</v>
      </c>
      <c r="V457" s="306">
        <f t="shared" ca="1" si="206"/>
        <v>0.93260076316668483</v>
      </c>
      <c r="W457" s="304">
        <f t="shared" ca="1" si="207"/>
        <v>48.328250363740111</v>
      </c>
      <c r="Y457" s="314" t="str">
        <f t="shared" ca="1" si="225"/>
        <v/>
      </c>
      <c r="Z457" s="315" t="str">
        <f t="shared" ca="1" si="226"/>
        <v/>
      </c>
      <c r="AA457" s="316" t="str">
        <f t="shared" ca="1" si="227"/>
        <v/>
      </c>
      <c r="AC457" s="310" t="e">
        <f t="shared" ca="1" si="228"/>
        <v>#N/A</v>
      </c>
      <c r="AD457" s="323" t="e">
        <f t="shared" ca="1" si="229"/>
        <v>#N/A</v>
      </c>
      <c r="AE457" s="324">
        <f t="shared" ca="1" si="208"/>
        <v>2710.4109511359666</v>
      </c>
      <c r="AG457" s="306">
        <f t="shared" ca="1" si="230"/>
        <v>-18.366501605359797</v>
      </c>
      <c r="AH457" s="304">
        <f t="shared" ca="1" si="231"/>
        <v>-8.7446040625356218</v>
      </c>
    </row>
    <row r="458" spans="1:34" x14ac:dyDescent="0.2">
      <c r="A458" s="347">
        <f t="shared" ca="1" si="209"/>
        <v>0.1</v>
      </c>
      <c r="B458" s="304">
        <f t="shared" ca="1" si="210"/>
        <v>13.399999999999896</v>
      </c>
      <c r="D458" s="306">
        <f t="shared" ca="1" si="211"/>
        <v>-1.6754826517395554</v>
      </c>
      <c r="E458" s="307">
        <f t="shared" ca="1" si="212"/>
        <v>-18.194885353716241</v>
      </c>
      <c r="F458" s="304">
        <f t="shared" ca="1" si="213"/>
        <v>18.271866219714887</v>
      </c>
      <c r="G458" s="306">
        <f t="shared" ca="1" si="214"/>
        <v>34.501078310765216</v>
      </c>
      <c r="H458" s="307">
        <f t="shared" ca="1" si="215"/>
        <v>171.67825488097526</v>
      </c>
      <c r="I458" s="304">
        <f t="shared" ca="1" si="216"/>
        <v>175.11067244340839</v>
      </c>
      <c r="J458" s="306">
        <f t="shared" ca="1" si="217"/>
        <v>431.0361983821727</v>
      </c>
      <c r="K458" s="307">
        <f t="shared" ca="1" si="218"/>
        <v>2727.6697510508325</v>
      </c>
      <c r="L458" s="304">
        <f t="shared" ca="1" si="203"/>
        <v>2761.516698322403</v>
      </c>
      <c r="M458" s="306">
        <f t="shared" ca="1" si="219"/>
        <v>1.3724744106673117</v>
      </c>
      <c r="N458" s="304">
        <f t="shared" ca="1" si="220"/>
        <v>78.636991220941894</v>
      </c>
      <c r="P458" s="310">
        <f t="shared" ca="1" si="221"/>
        <v>23</v>
      </c>
      <c r="Q458" s="304">
        <f t="shared" ca="1" si="222"/>
        <v>0</v>
      </c>
      <c r="R458" s="306">
        <f t="shared" ca="1" si="223"/>
        <v>0</v>
      </c>
      <c r="S458" s="307">
        <f t="shared" ca="1" si="224"/>
        <v>5.6519999999999806</v>
      </c>
      <c r="T458" s="304">
        <f t="shared" ca="1" si="204"/>
        <v>55.446119999999816</v>
      </c>
      <c r="U458" s="311">
        <f t="shared" ca="1" si="205"/>
        <v>0</v>
      </c>
      <c r="V458" s="306">
        <f t="shared" ca="1" si="206"/>
        <v>0.93096233739424383</v>
      </c>
      <c r="W458" s="304">
        <f t="shared" ca="1" si="207"/>
        <v>47.257572272014961</v>
      </c>
      <c r="Y458" s="314" t="str">
        <f t="shared" ca="1" si="225"/>
        <v/>
      </c>
      <c r="Z458" s="315" t="str">
        <f t="shared" ca="1" si="226"/>
        <v/>
      </c>
      <c r="AA458" s="316" t="str">
        <f t="shared" ca="1" si="227"/>
        <v/>
      </c>
      <c r="AC458" s="310" t="e">
        <f t="shared" ca="1" si="228"/>
        <v>#N/A</v>
      </c>
      <c r="AD458" s="323" t="e">
        <f t="shared" ca="1" si="229"/>
        <v>#N/A</v>
      </c>
      <c r="AE458" s="324">
        <f t="shared" ca="1" si="208"/>
        <v>2727.6697510508325</v>
      </c>
      <c r="AG458" s="306">
        <f t="shared" ca="1" si="230"/>
        <v>-18.170471856039057</v>
      </c>
      <c r="AH458" s="304">
        <f t="shared" ca="1" si="231"/>
        <v>-8.5506458534572314</v>
      </c>
    </row>
    <row r="459" spans="1:34" x14ac:dyDescent="0.2">
      <c r="A459" s="347">
        <f t="shared" ca="1" si="209"/>
        <v>0.1</v>
      </c>
      <c r="B459" s="304">
        <f t="shared" ca="1" si="210"/>
        <v>13.499999999999895</v>
      </c>
      <c r="D459" s="306">
        <f t="shared" ca="1" si="211"/>
        <v>-1.6473629988468086</v>
      </c>
      <c r="E459" s="307">
        <f t="shared" ca="1" si="212"/>
        <v>-18.007320740240871</v>
      </c>
      <c r="F459" s="304">
        <f t="shared" ca="1" si="213"/>
        <v>18.082516558595451</v>
      </c>
      <c r="G459" s="306">
        <f t="shared" ca="1" si="214"/>
        <v>34.336342010880536</v>
      </c>
      <c r="H459" s="307">
        <f t="shared" ca="1" si="215"/>
        <v>169.87752280695116</v>
      </c>
      <c r="I459" s="304">
        <f t="shared" ca="1" si="216"/>
        <v>173.31288797349831</v>
      </c>
      <c r="J459" s="306">
        <f t="shared" ca="1" si="217"/>
        <v>434.478069398255</v>
      </c>
      <c r="K459" s="307">
        <f t="shared" ca="1" si="218"/>
        <v>2744.7475399352288</v>
      </c>
      <c r="L459" s="304">
        <f t="shared" ca="1" si="203"/>
        <v>2778.9224981579687</v>
      </c>
      <c r="M459" s="306">
        <f t="shared" ca="1" si="219"/>
        <v>1.3713591964653602</v>
      </c>
      <c r="N459" s="304">
        <f t="shared" ca="1" si="220"/>
        <v>78.573094153917026</v>
      </c>
      <c r="P459" s="310">
        <f t="shared" ca="1" si="221"/>
        <v>23</v>
      </c>
      <c r="Q459" s="304">
        <f t="shared" ca="1" si="222"/>
        <v>0</v>
      </c>
      <c r="R459" s="306">
        <f t="shared" ca="1" si="223"/>
        <v>0</v>
      </c>
      <c r="S459" s="307">
        <f t="shared" ca="1" si="224"/>
        <v>5.6519999999999806</v>
      </c>
      <c r="T459" s="304">
        <f t="shared" ca="1" si="204"/>
        <v>55.446119999999816</v>
      </c>
      <c r="U459" s="311">
        <f t="shared" ca="1" si="205"/>
        <v>0</v>
      </c>
      <c r="V459" s="306">
        <f t="shared" ca="1" si="206"/>
        <v>0.92934354300771183</v>
      </c>
      <c r="W459" s="304">
        <f t="shared" ca="1" si="207"/>
        <v>46.211713059176212</v>
      </c>
      <c r="Y459" s="314" t="str">
        <f t="shared" ca="1" si="225"/>
        <v/>
      </c>
      <c r="Z459" s="315" t="str">
        <f t="shared" ca="1" si="226"/>
        <v/>
      </c>
      <c r="AA459" s="316" t="str">
        <f t="shared" ca="1" si="227"/>
        <v/>
      </c>
      <c r="AC459" s="310" t="e">
        <f t="shared" ca="1" si="228"/>
        <v>#N/A</v>
      </c>
      <c r="AD459" s="323" t="e">
        <f t="shared" ca="1" si="229"/>
        <v>#N/A</v>
      </c>
      <c r="AE459" s="324">
        <f t="shared" ca="1" si="208"/>
        <v>2744.7475399352288</v>
      </c>
      <c r="AG459" s="306">
        <f t="shared" ca="1" si="230"/>
        <v>-17.978922447536554</v>
      </c>
      <c r="AH459" s="304">
        <f t="shared" ca="1" si="231"/>
        <v>-8.3612123623522869</v>
      </c>
    </row>
    <row r="460" spans="1:34" x14ac:dyDescent="0.2">
      <c r="A460" s="347">
        <f t="shared" ca="1" si="209"/>
        <v>0.1</v>
      </c>
      <c r="B460" s="304">
        <f t="shared" ca="1" si="210"/>
        <v>13.599999999999895</v>
      </c>
      <c r="D460" s="306">
        <f t="shared" ca="1" si="211"/>
        <v>-1.6198435908213777</v>
      </c>
      <c r="E460" s="307">
        <f t="shared" ca="1" si="212"/>
        <v>-17.824104020057074</v>
      </c>
      <c r="F460" s="304">
        <f t="shared" ca="1" si="213"/>
        <v>17.89755786068423</v>
      </c>
      <c r="G460" s="306">
        <f t="shared" ca="1" si="214"/>
        <v>34.174357651798395</v>
      </c>
      <c r="H460" s="307">
        <f t="shared" ca="1" si="215"/>
        <v>168.09511240494547</v>
      </c>
      <c r="I460" s="304">
        <f t="shared" ca="1" si="216"/>
        <v>171.53382621321163</v>
      </c>
      <c r="J460" s="306">
        <f t="shared" ca="1" si="217"/>
        <v>437.90360438138896</v>
      </c>
      <c r="K460" s="307">
        <f t="shared" ca="1" si="218"/>
        <v>2761.6461716958238</v>
      </c>
      <c r="L460" s="304">
        <f t="shared" ca="1" si="203"/>
        <v>2796.1489846523577</v>
      </c>
      <c r="M460" s="306">
        <f t="shared" ca="1" si="219"/>
        <v>1.3702261636395137</v>
      </c>
      <c r="N460" s="304">
        <f t="shared" ca="1" si="220"/>
        <v>78.508176154946227</v>
      </c>
      <c r="P460" s="310">
        <f t="shared" ca="1" si="221"/>
        <v>23</v>
      </c>
      <c r="Q460" s="304">
        <f t="shared" ca="1" si="222"/>
        <v>0</v>
      </c>
      <c r="R460" s="306">
        <f t="shared" ca="1" si="223"/>
        <v>0</v>
      </c>
      <c r="S460" s="307">
        <f t="shared" ca="1" si="224"/>
        <v>5.6519999999999806</v>
      </c>
      <c r="T460" s="304">
        <f t="shared" ca="1" si="204"/>
        <v>55.446119999999816</v>
      </c>
      <c r="U460" s="311">
        <f t="shared" ca="1" si="205"/>
        <v>0</v>
      </c>
      <c r="V460" s="306">
        <f t="shared" ca="1" si="206"/>
        <v>0.92774412186108279</v>
      </c>
      <c r="W460" s="304">
        <f t="shared" ca="1" si="207"/>
        <v>45.189946314001155</v>
      </c>
      <c r="Y460" s="314" t="str">
        <f t="shared" ca="1" si="225"/>
        <v/>
      </c>
      <c r="Z460" s="315" t="str">
        <f t="shared" ca="1" si="226"/>
        <v/>
      </c>
      <c r="AA460" s="316" t="str">
        <f t="shared" ca="1" si="227"/>
        <v/>
      </c>
      <c r="AC460" s="310" t="e">
        <f t="shared" ca="1" si="228"/>
        <v>#N/A</v>
      </c>
      <c r="AD460" s="323" t="e">
        <f t="shared" ca="1" si="229"/>
        <v>#N/A</v>
      </c>
      <c r="AE460" s="324">
        <f t="shared" ca="1" si="208"/>
        <v>2761.6461716958238</v>
      </c>
      <c r="AG460" s="306">
        <f t="shared" ca="1" si="230"/>
        <v>-17.791718646975646</v>
      </c>
      <c r="AH460" s="304">
        <f t="shared" ca="1" si="231"/>
        <v>-8.176170038778551</v>
      </c>
    </row>
    <row r="461" spans="1:34" x14ac:dyDescent="0.2">
      <c r="A461" s="347">
        <f t="shared" ca="1" si="209"/>
        <v>0.1</v>
      </c>
      <c r="B461" s="304">
        <f t="shared" ca="1" si="210"/>
        <v>13.699999999999894</v>
      </c>
      <c r="D461" s="306">
        <f t="shared" ca="1" si="211"/>
        <v>-1.5929064007725777</v>
      </c>
      <c r="E461" s="307">
        <f t="shared" ca="1" si="212"/>
        <v>-17.64510792555695</v>
      </c>
      <c r="F461" s="304">
        <f t="shared" ca="1" si="213"/>
        <v>17.716861587374186</v>
      </c>
      <c r="G461" s="306">
        <f t="shared" ca="1" si="214"/>
        <v>34.015067011721136</v>
      </c>
      <c r="H461" s="307">
        <f t="shared" ca="1" si="215"/>
        <v>166.33060161238978</v>
      </c>
      <c r="I461" s="304">
        <f t="shared" ca="1" si="216"/>
        <v>169.77306563925683</v>
      </c>
      <c r="J461" s="306">
        <f t="shared" ca="1" si="217"/>
        <v>441.31307561456492</v>
      </c>
      <c r="K461" s="307">
        <f t="shared" ca="1" si="218"/>
        <v>2778.3674573966905</v>
      </c>
      <c r="L461" s="304">
        <f t="shared" ca="1" si="203"/>
        <v>2813.1979949924139</v>
      </c>
      <c r="M461" s="306">
        <f t="shared" ca="1" si="219"/>
        <v>1.3690749633302792</v>
      </c>
      <c r="N461" s="304">
        <f t="shared" ca="1" si="220"/>
        <v>78.442217235852951</v>
      </c>
      <c r="P461" s="310">
        <f t="shared" ca="1" si="221"/>
        <v>23</v>
      </c>
      <c r="Q461" s="304">
        <f t="shared" ca="1" si="222"/>
        <v>0</v>
      </c>
      <c r="R461" s="306">
        <f t="shared" ca="1" si="223"/>
        <v>0</v>
      </c>
      <c r="S461" s="307">
        <f t="shared" ca="1" si="224"/>
        <v>5.6519999999999806</v>
      </c>
      <c r="T461" s="304">
        <f t="shared" ca="1" si="204"/>
        <v>55.446119999999816</v>
      </c>
      <c r="U461" s="311">
        <f t="shared" ca="1" si="205"/>
        <v>0</v>
      </c>
      <c r="V461" s="306">
        <f t="shared" ca="1" si="206"/>
        <v>0.92616382206260839</v>
      </c>
      <c r="W461" s="304">
        <f t="shared" ca="1" si="207"/>
        <v>44.191572765794731</v>
      </c>
      <c r="Y461" s="314" t="str">
        <f t="shared" ca="1" si="225"/>
        <v/>
      </c>
      <c r="Z461" s="315" t="str">
        <f t="shared" ca="1" si="226"/>
        <v/>
      </c>
      <c r="AA461" s="316" t="str">
        <f t="shared" ca="1" si="227"/>
        <v/>
      </c>
      <c r="AC461" s="310" t="e">
        <f t="shared" ca="1" si="228"/>
        <v>#N/A</v>
      </c>
      <c r="AD461" s="323" t="e">
        <f t="shared" ca="1" si="229"/>
        <v>#N/A</v>
      </c>
      <c r="AE461" s="324">
        <f t="shared" ca="1" si="208"/>
        <v>2778.3674573966905</v>
      </c>
      <c r="AG461" s="306">
        <f t="shared" ca="1" si="230"/>
        <v>-17.608730708515445</v>
      </c>
      <c r="AH461" s="304">
        <f t="shared" ca="1" si="231"/>
        <v>-7.9953903598728431</v>
      </c>
    </row>
    <row r="462" spans="1:34" x14ac:dyDescent="0.2">
      <c r="A462" s="347">
        <f t="shared" ca="1" si="209"/>
        <v>0.1</v>
      </c>
      <c r="B462" s="304">
        <f t="shared" ca="1" si="210"/>
        <v>13.799999999999894</v>
      </c>
      <c r="D462" s="306">
        <f t="shared" ca="1" si="211"/>
        <v>-1.5665340715295704</v>
      </c>
      <c r="E462" s="307">
        <f t="shared" ca="1" si="212"/>
        <v>-17.470209943847344</v>
      </c>
      <c r="F462" s="304">
        <f t="shared" ca="1" si="213"/>
        <v>17.540304001908453</v>
      </c>
      <c r="G462" s="306">
        <f t="shared" ca="1" si="214"/>
        <v>33.858413604568177</v>
      </c>
      <c r="H462" s="307">
        <f t="shared" ca="1" si="215"/>
        <v>164.58358061800504</v>
      </c>
      <c r="I462" s="304">
        <f t="shared" ca="1" si="216"/>
        <v>168.03019722913311</v>
      </c>
      <c r="J462" s="306">
        <f t="shared" ca="1" si="217"/>
        <v>444.70674964537938</v>
      </c>
      <c r="K462" s="307">
        <f t="shared" ca="1" si="218"/>
        <v>2794.9131665082105</v>
      </c>
      <c r="L462" s="304">
        <f t="shared" ca="1" si="203"/>
        <v>2830.0713244547583</v>
      </c>
      <c r="M462" s="306">
        <f t="shared" ca="1" si="219"/>
        <v>1.3679052368832174</v>
      </c>
      <c r="N462" s="304">
        <f t="shared" ca="1" si="220"/>
        <v>78.375196847251473</v>
      </c>
      <c r="P462" s="310">
        <f t="shared" ca="1" si="221"/>
        <v>23</v>
      </c>
      <c r="Q462" s="304">
        <f t="shared" ca="1" si="222"/>
        <v>0</v>
      </c>
      <c r="R462" s="306">
        <f t="shared" ca="1" si="223"/>
        <v>0</v>
      </c>
      <c r="S462" s="307">
        <f t="shared" ca="1" si="224"/>
        <v>5.6519999999999806</v>
      </c>
      <c r="T462" s="304">
        <f t="shared" ca="1" si="204"/>
        <v>55.446119999999816</v>
      </c>
      <c r="U462" s="311">
        <f t="shared" ca="1" si="205"/>
        <v>0</v>
      </c>
      <c r="V462" s="306">
        <f t="shared" ca="1" si="206"/>
        <v>0.92460239778381947</v>
      </c>
      <c r="W462" s="304">
        <f t="shared" ca="1" si="207"/>
        <v>43.215919075759018</v>
      </c>
      <c r="Y462" s="314" t="str">
        <f t="shared" ca="1" si="225"/>
        <v/>
      </c>
      <c r="Z462" s="315" t="str">
        <f t="shared" ca="1" si="226"/>
        <v/>
      </c>
      <c r="AA462" s="316" t="str">
        <f t="shared" ca="1" si="227"/>
        <v/>
      </c>
      <c r="AC462" s="310" t="e">
        <f t="shared" ca="1" si="228"/>
        <v>#N/A</v>
      </c>
      <c r="AD462" s="323" t="e">
        <f t="shared" ca="1" si="229"/>
        <v>#N/A</v>
      </c>
      <c r="AE462" s="324">
        <f t="shared" ca="1" si="208"/>
        <v>2794.9131665082105</v>
      </c>
      <c r="AG462" s="306">
        <f t="shared" ca="1" si="230"/>
        <v>-17.429833646061383</v>
      </c>
      <c r="AH462" s="304">
        <f t="shared" ca="1" si="231"/>
        <v>-7.8187496047053937</v>
      </c>
    </row>
    <row r="463" spans="1:34" x14ac:dyDescent="0.2">
      <c r="A463" s="347">
        <f t="shared" ca="1" si="209"/>
        <v>0.1</v>
      </c>
      <c r="B463" s="304">
        <f t="shared" ca="1" si="210"/>
        <v>13.899999999999894</v>
      </c>
      <c r="D463" s="306">
        <f t="shared" ca="1" si="211"/>
        <v>-1.5407098857872448</v>
      </c>
      <c r="E463" s="307">
        <f t="shared" ca="1" si="212"/>
        <v>-17.299292104997203</v>
      </c>
      <c r="F463" s="304">
        <f t="shared" ca="1" si="213"/>
        <v>17.36776595553329</v>
      </c>
      <c r="G463" s="306">
        <f t="shared" ca="1" si="214"/>
        <v>33.704342615989454</v>
      </c>
      <c r="H463" s="307">
        <f t="shared" ca="1" si="215"/>
        <v>162.85365140750531</v>
      </c>
      <c r="I463" s="304">
        <f t="shared" ca="1" si="216"/>
        <v>166.30482400680162</v>
      </c>
      <c r="J463" s="306">
        <f t="shared" ca="1" si="217"/>
        <v>448.08488745640727</v>
      </c>
      <c r="K463" s="307">
        <f t="shared" ca="1" si="218"/>
        <v>2811.2850281094861</v>
      </c>
      <c r="L463" s="304">
        <f t="shared" ca="1" si="203"/>
        <v>2846.7707276209258</v>
      </c>
      <c r="M463" s="306">
        <f t="shared" ca="1" si="219"/>
        <v>1.3667166155205717</v>
      </c>
      <c r="N463" s="304">
        <f t="shared" ca="1" si="220"/>
        <v>78.307093859732774</v>
      </c>
      <c r="P463" s="310">
        <f t="shared" ca="1" si="221"/>
        <v>23</v>
      </c>
      <c r="Q463" s="304">
        <f t="shared" ca="1" si="222"/>
        <v>0</v>
      </c>
      <c r="R463" s="306">
        <f t="shared" ca="1" si="223"/>
        <v>0</v>
      </c>
      <c r="S463" s="307">
        <f t="shared" ca="1" si="224"/>
        <v>5.6519999999999806</v>
      </c>
      <c r="T463" s="304">
        <f t="shared" ca="1" si="204"/>
        <v>55.446119999999816</v>
      </c>
      <c r="U463" s="311">
        <f t="shared" ca="1" si="205"/>
        <v>0</v>
      </c>
      <c r="V463" s="306">
        <f t="shared" ca="1" si="206"/>
        <v>0.923059609075909</v>
      </c>
      <c r="W463" s="304">
        <f t="shared" ca="1" si="207"/>
        <v>42.262336691109269</v>
      </c>
      <c r="Y463" s="314" t="str">
        <f t="shared" ca="1" si="225"/>
        <v/>
      </c>
      <c r="Z463" s="315" t="str">
        <f t="shared" ca="1" si="226"/>
        <v/>
      </c>
      <c r="AA463" s="316" t="str">
        <f t="shared" ca="1" si="227"/>
        <v/>
      </c>
      <c r="AC463" s="310" t="e">
        <f t="shared" ca="1" si="228"/>
        <v>#N/A</v>
      </c>
      <c r="AD463" s="323" t="e">
        <f t="shared" ca="1" si="229"/>
        <v>#N/A</v>
      </c>
      <c r="AE463" s="324">
        <f t="shared" ca="1" si="208"/>
        <v>2811.2850281094861</v>
      </c>
      <c r="AG463" s="306">
        <f t="shared" ca="1" si="230"/>
        <v>-17.254907017702219</v>
      </c>
      <c r="AH463" s="304">
        <f t="shared" ca="1" si="231"/>
        <v>-7.6461286404386355</v>
      </c>
    </row>
    <row r="464" spans="1:34" x14ac:dyDescent="0.2">
      <c r="A464" s="347">
        <f t="shared" ca="1" si="209"/>
        <v>0.1</v>
      </c>
      <c r="B464" s="304">
        <f t="shared" ca="1" si="210"/>
        <v>13.999999999999893</v>
      </c>
      <c r="D464" s="306">
        <f t="shared" ca="1" si="211"/>
        <v>-1.5154177378031592</v>
      </c>
      <c r="E464" s="307">
        <f t="shared" ca="1" si="212"/>
        <v>-17.132240781277464</v>
      </c>
      <c r="F464" s="304">
        <f t="shared" ca="1" si="213"/>
        <v>17.199132684752307</v>
      </c>
      <c r="G464" s="306">
        <f t="shared" ca="1" si="214"/>
        <v>33.552800842209137</v>
      </c>
      <c r="H464" s="307">
        <f t="shared" ca="1" si="215"/>
        <v>161.14042732937756</v>
      </c>
      <c r="I464" s="304">
        <f t="shared" ca="1" si="216"/>
        <v>164.59656060881517</v>
      </c>
      <c r="J464" s="306">
        <f t="shared" ca="1" si="217"/>
        <v>451.44774462931719</v>
      </c>
      <c r="K464" s="307">
        <f t="shared" ca="1" si="218"/>
        <v>2827.4847320463305</v>
      </c>
      <c r="L464" s="304">
        <f t="shared" ca="1" si="203"/>
        <v>2863.2979195476682</v>
      </c>
      <c r="M464" s="306">
        <f t="shared" ca="1" si="219"/>
        <v>1.3655087199995053</v>
      </c>
      <c r="N464" s="304">
        <f t="shared" ca="1" si="220"/>
        <v>78.237886544282915</v>
      </c>
      <c r="P464" s="310">
        <f t="shared" ca="1" si="221"/>
        <v>23</v>
      </c>
      <c r="Q464" s="304">
        <f t="shared" ca="1" si="222"/>
        <v>0</v>
      </c>
      <c r="R464" s="306">
        <f t="shared" ca="1" si="223"/>
        <v>0</v>
      </c>
      <c r="S464" s="307">
        <f t="shared" ca="1" si="224"/>
        <v>5.6519999999999806</v>
      </c>
      <c r="T464" s="304">
        <f t="shared" ca="1" si="204"/>
        <v>55.446119999999816</v>
      </c>
      <c r="U464" s="311">
        <f t="shared" ca="1" si="205"/>
        <v>0</v>
      </c>
      <c r="V464" s="306">
        <f t="shared" ca="1" si="206"/>
        <v>0.92153522169314717</v>
      </c>
      <c r="W464" s="304">
        <f t="shared" ca="1" si="207"/>
        <v>41.330200758230845</v>
      </c>
      <c r="Y464" s="314" t="str">
        <f t="shared" ca="1" si="225"/>
        <v/>
      </c>
      <c r="Z464" s="315" t="str">
        <f t="shared" ca="1" si="226"/>
        <v/>
      </c>
      <c r="AA464" s="316" t="str">
        <f t="shared" ca="1" si="227"/>
        <v/>
      </c>
      <c r="AC464" s="310">
        <f t="shared" ca="1" si="228"/>
        <v>13.999999999999893</v>
      </c>
      <c r="AD464" s="323">
        <f t="shared" ca="1" si="229"/>
        <v>451.44774462931719</v>
      </c>
      <c r="AE464" s="324">
        <f t="shared" ca="1" si="208"/>
        <v>2827.4847320463305</v>
      </c>
      <c r="AG464" s="306">
        <f t="shared" ca="1" si="230"/>
        <v>-17.08383472116644</v>
      </c>
      <c r="AH464" s="304">
        <f t="shared" ca="1" si="231"/>
        <v>-7.4774127195876527</v>
      </c>
    </row>
    <row r="465" spans="1:34" x14ac:dyDescent="0.2">
      <c r="A465" s="347">
        <f t="shared" ca="1" si="209"/>
        <v>0.1</v>
      </c>
      <c r="B465" s="304">
        <f t="shared" ca="1" si="210"/>
        <v>14.099999999999893</v>
      </c>
      <c r="D465" s="306">
        <f t="shared" ca="1" si="211"/>
        <v>-1.490642106554086</v>
      </c>
      <c r="E465" s="307">
        <f t="shared" ca="1" si="212"/>
        <v>-16.968946496744202</v>
      </c>
      <c r="F465" s="304">
        <f t="shared" ca="1" si="213"/>
        <v>17.034293619026279</v>
      </c>
      <c r="G465" s="306">
        <f t="shared" ca="1" si="214"/>
        <v>33.403736631553727</v>
      </c>
      <c r="H465" s="307">
        <f t="shared" ca="1" si="215"/>
        <v>159.44353267970314</v>
      </c>
      <c r="I465" s="304">
        <f t="shared" ca="1" si="216"/>
        <v>162.90503286987104</v>
      </c>
      <c r="J465" s="306">
        <f t="shared" ca="1" si="217"/>
        <v>454.79557150300531</v>
      </c>
      <c r="K465" s="307">
        <f t="shared" ca="1" si="218"/>
        <v>2843.5139300467845</v>
      </c>
      <c r="L465" s="304">
        <f t="shared" ca="1" si="203"/>
        <v>2879.6545768943979</v>
      </c>
      <c r="M465" s="306">
        <f t="shared" ca="1" si="219"/>
        <v>1.3642811602563256</v>
      </c>
      <c r="N465" s="304">
        <f t="shared" ca="1" si="220"/>
        <v>78.167552551898567</v>
      </c>
      <c r="P465" s="310">
        <f t="shared" ca="1" si="221"/>
        <v>23</v>
      </c>
      <c r="Q465" s="304">
        <f t="shared" ca="1" si="222"/>
        <v>0</v>
      </c>
      <c r="R465" s="306">
        <f t="shared" ca="1" si="223"/>
        <v>0</v>
      </c>
      <c r="S465" s="307">
        <f t="shared" ca="1" si="224"/>
        <v>5.6519999999999806</v>
      </c>
      <c r="T465" s="304">
        <f t="shared" ca="1" si="204"/>
        <v>55.446119999999816</v>
      </c>
      <c r="U465" s="311">
        <f t="shared" ca="1" si="205"/>
        <v>0</v>
      </c>
      <c r="V465" s="306">
        <f t="shared" ca="1" si="206"/>
        <v>0.92002900692300127</v>
      </c>
      <c r="W465" s="304">
        <f t="shared" ca="1" si="207"/>
        <v>40.418909091415451</v>
      </c>
      <c r="Y465" s="314" t="str">
        <f t="shared" ca="1" si="225"/>
        <v/>
      </c>
      <c r="Z465" s="315" t="str">
        <f t="shared" ca="1" si="226"/>
        <v/>
      </c>
      <c r="AA465" s="316" t="str">
        <f t="shared" ca="1" si="227"/>
        <v/>
      </c>
      <c r="AC465" s="310" t="e">
        <f t="shared" ca="1" si="228"/>
        <v>#N/A</v>
      </c>
      <c r="AD465" s="323" t="e">
        <f t="shared" ca="1" si="229"/>
        <v>#N/A</v>
      </c>
      <c r="AE465" s="324">
        <f t="shared" ca="1" si="208"/>
        <v>2843.5139300467845</v>
      </c>
      <c r="AG465" s="306">
        <f t="shared" ca="1" si="230"/>
        <v>-16.91650479963798</v>
      </c>
      <c r="AH465" s="304">
        <f t="shared" ca="1" si="231"/>
        <v>-7.312491287726643</v>
      </c>
    </row>
    <row r="466" spans="1:34" x14ac:dyDescent="0.2">
      <c r="A466" s="347">
        <f t="shared" ca="1" si="209"/>
        <v>0.1</v>
      </c>
      <c r="B466" s="304">
        <f t="shared" ca="1" si="210"/>
        <v>14.199999999999893</v>
      </c>
      <c r="D466" s="306">
        <f t="shared" ca="1" si="211"/>
        <v>-1.4663680302666391</v>
      </c>
      <c r="E466" s="307">
        <f t="shared" ca="1" si="212"/>
        <v>-16.809303746558601</v>
      </c>
      <c r="F466" s="304">
        <f t="shared" ca="1" si="213"/>
        <v>16.87314219830607</v>
      </c>
      <c r="G466" s="306">
        <f t="shared" ca="1" si="214"/>
        <v>33.25709982852706</v>
      </c>
      <c r="H466" s="307">
        <f t="shared" ca="1" si="215"/>
        <v>157.76260230504727</v>
      </c>
      <c r="I466" s="304">
        <f t="shared" ca="1" si="216"/>
        <v>161.22987742681292</v>
      </c>
      <c r="J466" s="306">
        <f t="shared" ca="1" si="217"/>
        <v>458.12861332600937</v>
      </c>
      <c r="K466" s="307">
        <f t="shared" ca="1" si="218"/>
        <v>2859.3742367960222</v>
      </c>
      <c r="L466" s="304">
        <f t="shared" ca="1" si="203"/>
        <v>2895.8423390096441</v>
      </c>
      <c r="M466" s="306">
        <f t="shared" ca="1" si="219"/>
        <v>1.3630335350360379</v>
      </c>
      <c r="N466" s="304">
        <f t="shared" ca="1" si="220"/>
        <v>78.096068892361998</v>
      </c>
      <c r="P466" s="310">
        <f t="shared" ca="1" si="221"/>
        <v>23</v>
      </c>
      <c r="Q466" s="304">
        <f t="shared" ca="1" si="222"/>
        <v>0</v>
      </c>
      <c r="R466" s="306">
        <f t="shared" ca="1" si="223"/>
        <v>0</v>
      </c>
      <c r="S466" s="307">
        <f t="shared" ca="1" si="224"/>
        <v>5.6519999999999806</v>
      </c>
      <c r="T466" s="304">
        <f t="shared" ca="1" si="204"/>
        <v>55.446119999999816</v>
      </c>
      <c r="U466" s="311">
        <f t="shared" ca="1" si="205"/>
        <v>0</v>
      </c>
      <c r="V466" s="306">
        <f t="shared" ca="1" si="206"/>
        <v>0.91854074142266895</v>
      </c>
      <c r="W466" s="304">
        <f t="shared" ca="1" si="207"/>
        <v>39.527881193943543</v>
      </c>
      <c r="Y466" s="314" t="str">
        <f t="shared" ca="1" si="225"/>
        <v/>
      </c>
      <c r="Z466" s="315" t="str">
        <f t="shared" ca="1" si="226"/>
        <v/>
      </c>
      <c r="AA466" s="316" t="str">
        <f t="shared" ca="1" si="227"/>
        <v/>
      </c>
      <c r="AC466" s="310" t="e">
        <f t="shared" ca="1" si="228"/>
        <v>#N/A</v>
      </c>
      <c r="AD466" s="323" t="e">
        <f t="shared" ca="1" si="229"/>
        <v>#N/A</v>
      </c>
      <c r="AE466" s="324">
        <f t="shared" ca="1" si="208"/>
        <v>2859.3742367960222</v>
      </c>
      <c r="AG466" s="306">
        <f t="shared" ca="1" si="230"/>
        <v>-16.752809257314077</v>
      </c>
      <c r="AH466" s="304">
        <f t="shared" ca="1" si="231"/>
        <v>-7.1512578010289438</v>
      </c>
    </row>
    <row r="467" spans="1:34" x14ac:dyDescent="0.2">
      <c r="A467" s="347">
        <f t="shared" ca="1" si="209"/>
        <v>0.1</v>
      </c>
      <c r="B467" s="304">
        <f t="shared" ca="1" si="210"/>
        <v>14.299999999999892</v>
      </c>
      <c r="D467" s="306">
        <f t="shared" ca="1" si="211"/>
        <v>-1.4425810822421608</v>
      </c>
      <c r="E467" s="307">
        <f t="shared" ca="1" si="212"/>
        <v>-16.65321082547727</v>
      </c>
      <c r="F467" s="304">
        <f t="shared" ca="1" si="213"/>
        <v>16.715575699826683</v>
      </c>
      <c r="G467" s="306">
        <f t="shared" ca="1" si="214"/>
        <v>33.112841720302846</v>
      </c>
      <c r="H467" s="307">
        <f t="shared" ca="1" si="215"/>
        <v>156.09728122249953</v>
      </c>
      <c r="I467" s="304">
        <f t="shared" ca="1" si="216"/>
        <v>159.57074134016528</v>
      </c>
      <c r="J467" s="306">
        <f t="shared" ca="1" si="217"/>
        <v>461.44711040345089</v>
      </c>
      <c r="K467" s="307">
        <f t="shared" ca="1" si="218"/>
        <v>2875.0672309723996</v>
      </c>
      <c r="L467" s="304">
        <f t="shared" ca="1" si="203"/>
        <v>2911.8628089783001</v>
      </c>
      <c r="M467" s="306">
        <f t="shared" ca="1" si="219"/>
        <v>1.3617654315065355</v>
      </c>
      <c r="N467" s="304">
        <f t="shared" ca="1" si="220"/>
        <v>78.02341191213587</v>
      </c>
      <c r="P467" s="310">
        <f t="shared" ca="1" si="221"/>
        <v>23</v>
      </c>
      <c r="Q467" s="304">
        <f t="shared" ca="1" si="222"/>
        <v>0</v>
      </c>
      <c r="R467" s="306">
        <f t="shared" ca="1" si="223"/>
        <v>0</v>
      </c>
      <c r="S467" s="307">
        <f t="shared" ca="1" si="224"/>
        <v>5.6519999999999806</v>
      </c>
      <c r="T467" s="304">
        <f t="shared" ca="1" si="204"/>
        <v>55.446119999999816</v>
      </c>
      <c r="U467" s="311">
        <f t="shared" ca="1" si="205"/>
        <v>0</v>
      </c>
      <c r="V467" s="306">
        <f t="shared" ca="1" si="206"/>
        <v>0.91707020706172815</v>
      </c>
      <c r="W467" s="304">
        <f t="shared" ca="1" si="207"/>
        <v>38.65655732848905</v>
      </c>
      <c r="Y467" s="314" t="str">
        <f t="shared" ca="1" si="225"/>
        <v/>
      </c>
      <c r="Z467" s="315" t="str">
        <f t="shared" ca="1" si="226"/>
        <v/>
      </c>
      <c r="AA467" s="316" t="str">
        <f t="shared" ca="1" si="227"/>
        <v/>
      </c>
      <c r="AC467" s="310" t="e">
        <f t="shared" ca="1" si="228"/>
        <v>#N/A</v>
      </c>
      <c r="AD467" s="323" t="e">
        <f t="shared" ca="1" si="229"/>
        <v>#N/A</v>
      </c>
      <c r="AE467" s="324">
        <f t="shared" ca="1" si="208"/>
        <v>2875.0672309723996</v>
      </c>
      <c r="AG467" s="306">
        <f t="shared" ca="1" si="230"/>
        <v>-16.592643884128222</v>
      </c>
      <c r="AH467" s="304">
        <f t="shared" ca="1" si="231"/>
        <v>-6.9936095530685911</v>
      </c>
    </row>
    <row r="468" spans="1:34" x14ac:dyDescent="0.2">
      <c r="A468" s="347">
        <f t="shared" ca="1" si="209"/>
        <v>0.1</v>
      </c>
      <c r="B468" s="304">
        <f t="shared" ca="1" si="210"/>
        <v>14.399999999999892</v>
      </c>
      <c r="D468" s="306">
        <f t="shared" ca="1" si="211"/>
        <v>-1.4192673479012081</v>
      </c>
      <c r="E468" s="307">
        <f t="shared" ca="1" si="212"/>
        <v>-16.500569664983129</v>
      </c>
      <c r="F468" s="304">
        <f t="shared" ca="1" si="213"/>
        <v>16.56149507362726</v>
      </c>
      <c r="G468" s="306">
        <f t="shared" ca="1" si="214"/>
        <v>32.970914985512728</v>
      </c>
      <c r="H468" s="307">
        <f t="shared" ca="1" si="215"/>
        <v>154.44722425600122</v>
      </c>
      <c r="I468" s="304">
        <f t="shared" ca="1" si="216"/>
        <v>157.92728173233857</v>
      </c>
      <c r="J468" s="306">
        <f t="shared" ca="1" si="217"/>
        <v>464.7512982387417</v>
      </c>
      <c r="K468" s="307">
        <f t="shared" ca="1" si="218"/>
        <v>2890.5944562463246</v>
      </c>
      <c r="L468" s="304">
        <f t="shared" ca="1" si="203"/>
        <v>2927.7175546313515</v>
      </c>
      <c r="M468" s="306">
        <f t="shared" ca="1" si="219"/>
        <v>1.3604764248566972</v>
      </c>
      <c r="N468" s="304">
        <f t="shared" ca="1" si="220"/>
        <v>77.949557271335834</v>
      </c>
      <c r="P468" s="310">
        <f t="shared" ca="1" si="221"/>
        <v>23</v>
      </c>
      <c r="Q468" s="304">
        <f t="shared" ca="1" si="222"/>
        <v>0</v>
      </c>
      <c r="R468" s="306">
        <f t="shared" ca="1" si="223"/>
        <v>0</v>
      </c>
      <c r="S468" s="307">
        <f t="shared" ca="1" si="224"/>
        <v>5.6519999999999806</v>
      </c>
      <c r="T468" s="304">
        <f t="shared" ca="1" si="204"/>
        <v>55.446119999999816</v>
      </c>
      <c r="U468" s="311">
        <f t="shared" ca="1" si="205"/>
        <v>0</v>
      </c>
      <c r="V468" s="306">
        <f t="shared" ca="1" si="206"/>
        <v>0.91561719077064008</v>
      </c>
      <c r="W468" s="304">
        <f t="shared" ca="1" si="207"/>
        <v>37.804397634019701</v>
      </c>
      <c r="Y468" s="314" t="str">
        <f t="shared" ca="1" si="225"/>
        <v/>
      </c>
      <c r="Z468" s="315" t="str">
        <f t="shared" ca="1" si="226"/>
        <v/>
      </c>
      <c r="AA468" s="316" t="str">
        <f t="shared" ca="1" si="227"/>
        <v/>
      </c>
      <c r="AC468" s="310" t="e">
        <f t="shared" ca="1" si="228"/>
        <v>#N/A</v>
      </c>
      <c r="AD468" s="323" t="e">
        <f t="shared" ca="1" si="229"/>
        <v>#N/A</v>
      </c>
      <c r="AE468" s="324">
        <f t="shared" ca="1" si="208"/>
        <v>2890.5944562463246</v>
      </c>
      <c r="AG468" s="306">
        <f t="shared" ca="1" si="230"/>
        <v>-16.43590808909785</v>
      </c>
      <c r="AH468" s="304">
        <f t="shared" ca="1" si="231"/>
        <v>-6.8394475103484043</v>
      </c>
    </row>
    <row r="469" spans="1:34" x14ac:dyDescent="0.2">
      <c r="A469" s="347">
        <f t="shared" ca="1" si="209"/>
        <v>0.1</v>
      </c>
      <c r="B469" s="304">
        <f t="shared" ca="1" si="210"/>
        <v>14.499999999999892</v>
      </c>
      <c r="D469" s="306">
        <f t="shared" ca="1" si="211"/>
        <v>-1.3964134029778577</v>
      </c>
      <c r="E469" s="307">
        <f t="shared" ca="1" si="212"/>
        <v>-16.351285678561617</v>
      </c>
      <c r="F469" s="304">
        <f t="shared" ca="1" si="213"/>
        <v>16.410804786297057</v>
      </c>
      <c r="G469" s="306">
        <f t="shared" ca="1" si="214"/>
        <v>32.831273645214942</v>
      </c>
      <c r="H469" s="307">
        <f t="shared" ca="1" si="215"/>
        <v>152.81209568814506</v>
      </c>
      <c r="I469" s="304">
        <f t="shared" ca="1" si="216"/>
        <v>156.29916544169322</v>
      </c>
      <c r="J469" s="306">
        <f t="shared" ca="1" si="217"/>
        <v>468.04140767027809</v>
      </c>
      <c r="K469" s="307">
        <f t="shared" ca="1" si="218"/>
        <v>2905.9574222435322</v>
      </c>
      <c r="L469" s="304">
        <f t="shared" ca="1" si="203"/>
        <v>2943.4081095196857</v>
      </c>
      <c r="M469" s="306">
        <f t="shared" ca="1" si="219"/>
        <v>1.3591660778776229</v>
      </c>
      <c r="N469" s="304">
        <f t="shared" ca="1" si="220"/>
        <v>77.874479919737155</v>
      </c>
      <c r="P469" s="310">
        <f t="shared" ca="1" si="221"/>
        <v>23</v>
      </c>
      <c r="Q469" s="304">
        <f t="shared" ca="1" si="222"/>
        <v>0</v>
      </c>
      <c r="R469" s="306">
        <f t="shared" ca="1" si="223"/>
        <v>0</v>
      </c>
      <c r="S469" s="307">
        <f t="shared" ca="1" si="224"/>
        <v>5.6519999999999806</v>
      </c>
      <c r="T469" s="304">
        <f t="shared" ca="1" si="204"/>
        <v>55.446119999999816</v>
      </c>
      <c r="U469" s="311">
        <f t="shared" ca="1" si="205"/>
        <v>0</v>
      </c>
      <c r="V469" s="306">
        <f t="shared" ca="1" si="206"/>
        <v>0.91418148439484348</v>
      </c>
      <c r="W469" s="304">
        <f t="shared" ca="1" si="207"/>
        <v>36.97088128654655</v>
      </c>
      <c r="Y469" s="314" t="str">
        <f t="shared" ca="1" si="225"/>
        <v/>
      </c>
      <c r="Z469" s="315" t="str">
        <f t="shared" ca="1" si="226"/>
        <v/>
      </c>
      <c r="AA469" s="316" t="str">
        <f t="shared" ca="1" si="227"/>
        <v/>
      </c>
      <c r="AC469" s="310" t="e">
        <f t="shared" ca="1" si="228"/>
        <v>#N/A</v>
      </c>
      <c r="AD469" s="323" t="e">
        <f t="shared" ca="1" si="229"/>
        <v>#N/A</v>
      </c>
      <c r="AE469" s="324">
        <f t="shared" ca="1" si="208"/>
        <v>2905.9574222435322</v>
      </c>
      <c r="AG469" s="306">
        <f t="shared" ca="1" si="230"/>
        <v>-16.282504741790966</v>
      </c>
      <c r="AH469" s="304">
        <f t="shared" ca="1" si="231"/>
        <v>-6.6886761560544636</v>
      </c>
    </row>
    <row r="470" spans="1:34" x14ac:dyDescent="0.2">
      <c r="A470" s="347">
        <f t="shared" ca="1" si="209"/>
        <v>0.1</v>
      </c>
      <c r="B470" s="304">
        <f t="shared" ca="1" si="210"/>
        <v>14.599999999999891</v>
      </c>
      <c r="D470" s="306">
        <f t="shared" ca="1" si="211"/>
        <v>-1.3740062927984884</v>
      </c>
      <c r="E470" s="307">
        <f t="shared" ca="1" si="212"/>
        <v>-16.20526761465856</v>
      </c>
      <c r="F470" s="304">
        <f t="shared" ca="1" si="213"/>
        <v>16.263412672479024</v>
      </c>
      <c r="G470" s="306">
        <f t="shared" ca="1" si="214"/>
        <v>32.693873015935097</v>
      </c>
      <c r="H470" s="307">
        <f t="shared" ca="1" si="215"/>
        <v>151.1915689266792</v>
      </c>
      <c r="I470" s="304">
        <f t="shared" ca="1" si="216"/>
        <v>154.68606869169852</v>
      </c>
      <c r="J470" s="306">
        <f t="shared" ca="1" si="217"/>
        <v>471.31766500333561</v>
      </c>
      <c r="K470" s="307">
        <f t="shared" ca="1" si="218"/>
        <v>2921.1576054742732</v>
      </c>
      <c r="L470" s="304">
        <f t="shared" ca="1" si="203"/>
        <v>2958.9359738535045</v>
      </c>
      <c r="M470" s="306">
        <f t="shared" ca="1" si="219"/>
        <v>1.357833940526197</v>
      </c>
      <c r="N470" s="304">
        <f t="shared" ca="1" si="220"/>
        <v>77.798154071768721</v>
      </c>
      <c r="P470" s="310">
        <f t="shared" ca="1" si="221"/>
        <v>23</v>
      </c>
      <c r="Q470" s="304">
        <f t="shared" ca="1" si="222"/>
        <v>0</v>
      </c>
      <c r="R470" s="306">
        <f t="shared" ca="1" si="223"/>
        <v>0</v>
      </c>
      <c r="S470" s="307">
        <f t="shared" ca="1" si="224"/>
        <v>5.6519999999999806</v>
      </c>
      <c r="T470" s="304">
        <f t="shared" ca="1" si="204"/>
        <v>55.446119999999816</v>
      </c>
      <c r="U470" s="311">
        <f t="shared" ca="1" si="205"/>
        <v>0</v>
      </c>
      <c r="V470" s="306">
        <f t="shared" ca="1" si="206"/>
        <v>0.91276288455419485</v>
      </c>
      <c r="W470" s="304">
        <f t="shared" ca="1" si="207"/>
        <v>36.155505701245822</v>
      </c>
      <c r="Y470" s="314" t="str">
        <f t="shared" ca="1" si="225"/>
        <v/>
      </c>
      <c r="Z470" s="315" t="str">
        <f t="shared" ca="1" si="226"/>
        <v/>
      </c>
      <c r="AA470" s="316" t="str">
        <f t="shared" ca="1" si="227"/>
        <v/>
      </c>
      <c r="AC470" s="310" t="e">
        <f t="shared" ca="1" si="228"/>
        <v>#N/A</v>
      </c>
      <c r="AD470" s="323" t="e">
        <f t="shared" ca="1" si="229"/>
        <v>#N/A</v>
      </c>
      <c r="AE470" s="324">
        <f t="shared" ca="1" si="208"/>
        <v>2921.1576054742732</v>
      </c>
      <c r="AG470" s="306">
        <f t="shared" ca="1" si="230"/>
        <v>-16.132340021437553</v>
      </c>
      <c r="AH470" s="304">
        <f t="shared" ca="1" si="231"/>
        <v>-6.5412033415687683</v>
      </c>
    </row>
    <row r="471" spans="1:34" x14ac:dyDescent="0.2">
      <c r="A471" s="347">
        <f t="shared" ca="1" si="209"/>
        <v>0.1</v>
      </c>
      <c r="B471" s="304">
        <f t="shared" ca="1" si="210"/>
        <v>14.699999999999891</v>
      </c>
      <c r="D471" s="306">
        <f t="shared" ca="1" si="211"/>
        <v>-1.3520335125839249</v>
      </c>
      <c r="E471" s="307">
        <f t="shared" ca="1" si="212"/>
        <v>-16.062427416885718</v>
      </c>
      <c r="F471" s="304">
        <f t="shared" ca="1" si="213"/>
        <v>16.119229793692753</v>
      </c>
      <c r="G471" s="306">
        <f t="shared" ca="1" si="214"/>
        <v>32.558669664676707</v>
      </c>
      <c r="H471" s="307">
        <f t="shared" ca="1" si="215"/>
        <v>149.58532618499063</v>
      </c>
      <c r="I471" s="304">
        <f t="shared" ca="1" si="216"/>
        <v>153.08767677446667</v>
      </c>
      <c r="J471" s="306">
        <f t="shared" ca="1" si="217"/>
        <v>474.5802921373662</v>
      </c>
      <c r="K471" s="307">
        <f t="shared" ca="1" si="218"/>
        <v>2936.1964502298565</v>
      </c>
      <c r="L471" s="304">
        <f t="shared" ca="1" si="203"/>
        <v>2974.3026154087952</v>
      </c>
      <c r="M471" s="306">
        <f t="shared" ca="1" si="219"/>
        <v>1.3564795494701256</v>
      </c>
      <c r="N471" s="304">
        <f t="shared" ca="1" si="220"/>
        <v>77.720553180445563</v>
      </c>
      <c r="P471" s="310">
        <f t="shared" ca="1" si="221"/>
        <v>23</v>
      </c>
      <c r="Q471" s="304">
        <f t="shared" ca="1" si="222"/>
        <v>0</v>
      </c>
      <c r="R471" s="306">
        <f t="shared" ca="1" si="223"/>
        <v>0</v>
      </c>
      <c r="S471" s="307">
        <f t="shared" ca="1" si="224"/>
        <v>5.6519999999999806</v>
      </c>
      <c r="T471" s="304">
        <f t="shared" ca="1" si="204"/>
        <v>55.446119999999816</v>
      </c>
      <c r="U471" s="311">
        <f t="shared" ca="1" si="205"/>
        <v>0</v>
      </c>
      <c r="V471" s="306">
        <f t="shared" ca="1" si="206"/>
        <v>0.91136119250752856</v>
      </c>
      <c r="W471" s="304">
        <f t="shared" ca="1" si="207"/>
        <v>35.357785773632727</v>
      </c>
      <c r="Y471" s="314" t="str">
        <f t="shared" ca="1" si="225"/>
        <v/>
      </c>
      <c r="Z471" s="315" t="str">
        <f t="shared" ca="1" si="226"/>
        <v/>
      </c>
      <c r="AA471" s="316" t="str">
        <f t="shared" ca="1" si="227"/>
        <v/>
      </c>
      <c r="AC471" s="310" t="e">
        <f t="shared" ca="1" si="228"/>
        <v>#N/A</v>
      </c>
      <c r="AD471" s="323" t="e">
        <f t="shared" ca="1" si="229"/>
        <v>#N/A</v>
      </c>
      <c r="AE471" s="324">
        <f t="shared" ca="1" si="208"/>
        <v>2936.1964502298565</v>
      </c>
      <c r="AG471" s="306">
        <f t="shared" ca="1" si="230"/>
        <v>-15.985323273241011</v>
      </c>
      <c r="AH471" s="304">
        <f t="shared" ca="1" si="231"/>
        <v>-6.3969401453018309</v>
      </c>
    </row>
    <row r="472" spans="1:34" x14ac:dyDescent="0.2">
      <c r="A472" s="347">
        <f t="shared" ca="1" si="209"/>
        <v>0.1</v>
      </c>
      <c r="B472" s="304">
        <f t="shared" ca="1" si="210"/>
        <v>14.799999999999891</v>
      </c>
      <c r="D472" s="306">
        <f t="shared" ca="1" si="211"/>
        <v>-1.3304829887176599</v>
      </c>
      <c r="E472" s="307">
        <f t="shared" ca="1" si="212"/>
        <v>-15.922680091067495</v>
      </c>
      <c r="F472" s="304">
        <f t="shared" ca="1" si="213"/>
        <v>15.978170304066239</v>
      </c>
      <c r="G472" s="306">
        <f t="shared" ca="1" si="214"/>
        <v>32.425621365804943</v>
      </c>
      <c r="H472" s="307">
        <f t="shared" ca="1" si="215"/>
        <v>147.99305817588387</v>
      </c>
      <c r="I472" s="304">
        <f t="shared" ca="1" si="216"/>
        <v>151.50368374798381</v>
      </c>
      <c r="J472" s="306">
        <f t="shared" ca="1" si="217"/>
        <v>477.82950668889026</v>
      </c>
      <c r="K472" s="307">
        <f t="shared" ca="1" si="218"/>
        <v>2951.0753694479004</v>
      </c>
      <c r="L472" s="304">
        <f t="shared" ca="1" si="203"/>
        <v>2989.5094704022281</v>
      </c>
      <c r="M472" s="306">
        <f t="shared" ca="1" si="219"/>
        <v>1.3551024276135435</v>
      </c>
      <c r="N472" s="304">
        <f t="shared" ca="1" si="220"/>
        <v>77.641649910188193</v>
      </c>
      <c r="P472" s="310">
        <f t="shared" ca="1" si="221"/>
        <v>23</v>
      </c>
      <c r="Q472" s="304">
        <f t="shared" ca="1" si="222"/>
        <v>0</v>
      </c>
      <c r="R472" s="306">
        <f t="shared" ca="1" si="223"/>
        <v>0</v>
      </c>
      <c r="S472" s="307">
        <f t="shared" ca="1" si="224"/>
        <v>5.6519999999999806</v>
      </c>
      <c r="T472" s="304">
        <f t="shared" ca="1" si="204"/>
        <v>55.446119999999816</v>
      </c>
      <c r="U472" s="311">
        <f t="shared" ca="1" si="205"/>
        <v>0</v>
      </c>
      <c r="V472" s="306">
        <f t="shared" ca="1" si="206"/>
        <v>0.90997621402211126</v>
      </c>
      <c r="W472" s="304">
        <f t="shared" ca="1" si="207"/>
        <v>34.577253157612589</v>
      </c>
      <c r="Y472" s="314" t="str">
        <f t="shared" ca="1" si="225"/>
        <v/>
      </c>
      <c r="Z472" s="315" t="str">
        <f t="shared" ca="1" si="226"/>
        <v/>
      </c>
      <c r="AA472" s="316" t="str">
        <f t="shared" ca="1" si="227"/>
        <v/>
      </c>
      <c r="AC472" s="310" t="e">
        <f t="shared" ca="1" si="228"/>
        <v>#N/A</v>
      </c>
      <c r="AD472" s="323" t="e">
        <f t="shared" ca="1" si="229"/>
        <v>#N/A</v>
      </c>
      <c r="AE472" s="324">
        <f t="shared" ca="1" si="208"/>
        <v>2951.0753694479004</v>
      </c>
      <c r="AG472" s="306">
        <f t="shared" ca="1" si="230"/>
        <v>-15.841366871472442</v>
      </c>
      <c r="AH472" s="304">
        <f t="shared" ca="1" si="231"/>
        <v>-6.2558007384346865</v>
      </c>
    </row>
    <row r="473" spans="1:34" x14ac:dyDescent="0.2">
      <c r="A473" s="347">
        <f t="shared" ca="1" si="209"/>
        <v>0.1</v>
      </c>
      <c r="B473" s="304">
        <f t="shared" ca="1" si="210"/>
        <v>14.89999999999989</v>
      </c>
      <c r="D473" s="306">
        <f t="shared" ca="1" si="211"/>
        <v>-1.3093430609265215</v>
      </c>
      <c r="E473" s="307">
        <f t="shared" ca="1" si="212"/>
        <v>-15.785943578747769</v>
      </c>
      <c r="F473" s="304">
        <f t="shared" ca="1" si="213"/>
        <v>15.840151322591725</v>
      </c>
      <c r="G473" s="306">
        <f t="shared" ca="1" si="214"/>
        <v>32.294687059712288</v>
      </c>
      <c r="H473" s="307">
        <f t="shared" ca="1" si="215"/>
        <v>146.4144638180091</v>
      </c>
      <c r="I473" s="304">
        <f t="shared" ca="1" si="216"/>
        <v>149.9337921463999</v>
      </c>
      <c r="J473" s="306">
        <f t="shared" ca="1" si="217"/>
        <v>481.06552211016611</v>
      </c>
      <c r="K473" s="307">
        <f t="shared" ca="1" si="218"/>
        <v>2965.7957455475948</v>
      </c>
      <c r="L473" s="304">
        <f t="shared" ca="1" si="203"/>
        <v>3004.5579443357956</v>
      </c>
      <c r="M473" s="306">
        <f t="shared" ca="1" si="219"/>
        <v>1.3537020836022433</v>
      </c>
      <c r="N473" s="304">
        <f t="shared" ca="1" si="220"/>
        <v>77.561416108474262</v>
      </c>
      <c r="P473" s="310">
        <f t="shared" ca="1" si="221"/>
        <v>23</v>
      </c>
      <c r="Q473" s="304">
        <f t="shared" ca="1" si="222"/>
        <v>0</v>
      </c>
      <c r="R473" s="306">
        <f t="shared" ca="1" si="223"/>
        <v>0</v>
      </c>
      <c r="S473" s="307">
        <f t="shared" ca="1" si="224"/>
        <v>5.6519999999999806</v>
      </c>
      <c r="T473" s="304">
        <f t="shared" ca="1" si="204"/>
        <v>55.446119999999816</v>
      </c>
      <c r="U473" s="311">
        <f t="shared" ca="1" si="205"/>
        <v>0</v>
      </c>
      <c r="V473" s="306">
        <f t="shared" ca="1" si="206"/>
        <v>0.90860775924777981</v>
      </c>
      <c r="W473" s="304">
        <f t="shared" ca="1" si="207"/>
        <v>33.813455578370515</v>
      </c>
      <c r="Y473" s="314" t="str">
        <f t="shared" ca="1" si="225"/>
        <v/>
      </c>
      <c r="Z473" s="315" t="str">
        <f t="shared" ca="1" si="226"/>
        <v/>
      </c>
      <c r="AA473" s="316" t="str">
        <f t="shared" ca="1" si="227"/>
        <v/>
      </c>
      <c r="AC473" s="310" t="e">
        <f t="shared" ca="1" si="228"/>
        <v>#N/A</v>
      </c>
      <c r="AD473" s="323" t="e">
        <f t="shared" ca="1" si="229"/>
        <v>#N/A</v>
      </c>
      <c r="AE473" s="324">
        <f t="shared" ca="1" si="208"/>
        <v>2965.7957455475948</v>
      </c>
      <c r="AG473" s="306">
        <f t="shared" ca="1" si="230"/>
        <v>-15.700386088955685</v>
      </c>
      <c r="AH473" s="304">
        <f t="shared" ca="1" si="231"/>
        <v>-6.1177022571855462</v>
      </c>
    </row>
    <row r="474" spans="1:34" x14ac:dyDescent="0.2">
      <c r="A474" s="347">
        <f t="shared" ca="1" si="209"/>
        <v>0.1</v>
      </c>
      <c r="B474" s="304">
        <f t="shared" ca="1" si="210"/>
        <v>14.99999999999989</v>
      </c>
      <c r="D474" s="306">
        <f t="shared" ca="1" si="211"/>
        <v>-1.2886024653234556</v>
      </c>
      <c r="E474" s="307">
        <f t="shared" ca="1" si="212"/>
        <v>-15.652138636799638</v>
      </c>
      <c r="F474" s="304">
        <f t="shared" ca="1" si="213"/>
        <v>15.705092811544722</v>
      </c>
      <c r="G474" s="306">
        <f t="shared" ca="1" si="214"/>
        <v>32.16582681317994</v>
      </c>
      <c r="H474" s="307">
        <f t="shared" ca="1" si="215"/>
        <v>144.84924995432914</v>
      </c>
      <c r="I474" s="304">
        <f t="shared" ca="1" si="216"/>
        <v>148.37771270277489</v>
      </c>
      <c r="J474" s="306">
        <f t="shared" ca="1" si="217"/>
        <v>484.28854780381073</v>
      </c>
      <c r="K474" s="307">
        <f t="shared" ca="1" si="218"/>
        <v>2980.3589312362119</v>
      </c>
      <c r="L474" s="304">
        <f t="shared" ca="1" si="203"/>
        <v>3019.4494128124384</v>
      </c>
      <c r="M474" s="306">
        <f t="shared" ca="1" si="219"/>
        <v>1.3522780113075181</v>
      </c>
      <c r="N474" s="304">
        <f t="shared" ca="1" si="220"/>
        <v>77.479822776264996</v>
      </c>
      <c r="P474" s="310">
        <f t="shared" ca="1" si="221"/>
        <v>23</v>
      </c>
      <c r="Q474" s="304">
        <f t="shared" ca="1" si="222"/>
        <v>0</v>
      </c>
      <c r="R474" s="306">
        <f t="shared" ca="1" si="223"/>
        <v>0</v>
      </c>
      <c r="S474" s="307">
        <f t="shared" ca="1" si="224"/>
        <v>5.6519999999999806</v>
      </c>
      <c r="T474" s="304">
        <f t="shared" ca="1" si="204"/>
        <v>55.446119999999816</v>
      </c>
      <c r="U474" s="311">
        <f t="shared" ca="1" si="205"/>
        <v>0</v>
      </c>
      <c r="V474" s="306">
        <f t="shared" ca="1" si="206"/>
        <v>0.90725564259557356</v>
      </c>
      <c r="W474" s="304">
        <f t="shared" ca="1" si="207"/>
        <v>33.065956178187307</v>
      </c>
      <c r="Y474" s="314" t="str">
        <f t="shared" ca="1" si="225"/>
        <v/>
      </c>
      <c r="Z474" s="315" t="str">
        <f t="shared" ca="1" si="226"/>
        <v/>
      </c>
      <c r="AA474" s="316" t="str">
        <f t="shared" ca="1" si="227"/>
        <v/>
      </c>
      <c r="AC474" s="310">
        <f t="shared" ca="1" si="228"/>
        <v>14.99999999999989</v>
      </c>
      <c r="AD474" s="323">
        <f t="shared" ca="1" si="229"/>
        <v>484.28854780381073</v>
      </c>
      <c r="AE474" s="324">
        <f t="shared" ca="1" si="208"/>
        <v>2980.3589312362119</v>
      </c>
      <c r="AG474" s="306">
        <f t="shared" ca="1" si="230"/>
        <v>-15.562298972574769</v>
      </c>
      <c r="AH474" s="304">
        <f t="shared" ca="1" si="231"/>
        <v>-5.9825646812403805</v>
      </c>
    </row>
    <row r="475" spans="1:34" x14ac:dyDescent="0.2">
      <c r="A475" s="347">
        <f t="shared" ca="1" si="209"/>
        <v>0.1</v>
      </c>
      <c r="B475" s="304">
        <f t="shared" ca="1" si="210"/>
        <v>15.09999999999989</v>
      </c>
      <c r="D475" s="306">
        <f t="shared" ca="1" si="211"/>
        <v>-1.2682503182652964</v>
      </c>
      <c r="E475" s="307">
        <f t="shared" ca="1" si="212"/>
        <v>-15.521188722802997</v>
      </c>
      <c r="F475" s="304">
        <f t="shared" ca="1" si="213"/>
        <v>15.572917460727998</v>
      </c>
      <c r="G475" s="306">
        <f t="shared" ca="1" si="214"/>
        <v>32.039001781353413</v>
      </c>
      <c r="H475" s="307">
        <f t="shared" ca="1" si="215"/>
        <v>143.29713108204885</v>
      </c>
      <c r="I475" s="304">
        <f t="shared" ca="1" si="216"/>
        <v>146.83516408371483</v>
      </c>
      <c r="J475" s="306">
        <f t="shared" ca="1" si="217"/>
        <v>487.49878923353742</v>
      </c>
      <c r="K475" s="307">
        <f t="shared" ca="1" si="218"/>
        <v>2994.7662502880307</v>
      </c>
      <c r="L475" s="304">
        <f t="shared" ca="1" si="203"/>
        <v>3034.1852223238443</v>
      </c>
      <c r="M475" s="306">
        <f t="shared" ca="1" si="219"/>
        <v>1.3508296892875624</v>
      </c>
      <c r="N475" s="304">
        <f t="shared" ca="1" si="220"/>
        <v>77.39684003714568</v>
      </c>
      <c r="P475" s="310">
        <f t="shared" ca="1" si="221"/>
        <v>23</v>
      </c>
      <c r="Q475" s="304">
        <f t="shared" ca="1" si="222"/>
        <v>0</v>
      </c>
      <c r="R475" s="306">
        <f t="shared" ca="1" si="223"/>
        <v>0</v>
      </c>
      <c r="S475" s="307">
        <f t="shared" ca="1" si="224"/>
        <v>5.6519999999999806</v>
      </c>
      <c r="T475" s="304">
        <f t="shared" ca="1" si="204"/>
        <v>55.446119999999816</v>
      </c>
      <c r="U475" s="311">
        <f t="shared" ca="1" si="205"/>
        <v>0</v>
      </c>
      <c r="V475" s="306">
        <f t="shared" ca="1" si="206"/>
        <v>0.90591968262065869</v>
      </c>
      <c r="W475" s="304">
        <f t="shared" ca="1" si="207"/>
        <v>32.334332893386524</v>
      </c>
      <c r="Y475" s="314" t="str">
        <f t="shared" ca="1" si="225"/>
        <v/>
      </c>
      <c r="Z475" s="315" t="str">
        <f t="shared" ca="1" si="226"/>
        <v/>
      </c>
      <c r="AA475" s="316" t="str">
        <f t="shared" ca="1" si="227"/>
        <v/>
      </c>
      <c r="AC475" s="310" t="e">
        <f t="shared" ca="1" si="228"/>
        <v>#N/A</v>
      </c>
      <c r="AD475" s="323" t="e">
        <f t="shared" ca="1" si="229"/>
        <v>#N/A</v>
      </c>
      <c r="AE475" s="324">
        <f t="shared" ca="1" si="208"/>
        <v>2994.7662502880307</v>
      </c>
      <c r="AG475" s="306">
        <f t="shared" ca="1" si="230"/>
        <v>-15.42702622445722</v>
      </c>
      <c r="AH475" s="304">
        <f t="shared" ca="1" si="231"/>
        <v>-5.8503107180090979</v>
      </c>
    </row>
    <row r="476" spans="1:34" x14ac:dyDescent="0.2">
      <c r="A476" s="347">
        <f t="shared" ca="1" si="209"/>
        <v>0.1</v>
      </c>
      <c r="B476" s="304">
        <f t="shared" ca="1" si="210"/>
        <v>15.199999999999889</v>
      </c>
      <c r="D476" s="306">
        <f t="shared" ca="1" si="211"/>
        <v>-1.2482761009812222</v>
      </c>
      <c r="E476" s="307">
        <f t="shared" ca="1" si="212"/>
        <v>-15.393019885875448</v>
      </c>
      <c r="F476" s="304">
        <f t="shared" ca="1" si="213"/>
        <v>15.443550577222775</v>
      </c>
      <c r="G476" s="306">
        <f t="shared" ca="1" si="214"/>
        <v>31.91417417125529</v>
      </c>
      <c r="H476" s="307">
        <f t="shared" ca="1" si="215"/>
        <v>141.75782909346131</v>
      </c>
      <c r="I476" s="304">
        <f t="shared" ca="1" si="216"/>
        <v>145.30587263536256</v>
      </c>
      <c r="J476" s="306">
        <f t="shared" ca="1" si="217"/>
        <v>490.69644803116785</v>
      </c>
      <c r="K476" s="307">
        <f t="shared" ca="1" si="218"/>
        <v>3009.0189982968063</v>
      </c>
      <c r="L476" s="304">
        <f t="shared" ca="1" si="203"/>
        <v>3048.7666910115508</v>
      </c>
      <c r="M476" s="306">
        <f t="shared" ca="1" si="219"/>
        <v>1.3493565802253089</v>
      </c>
      <c r="N476" s="304">
        <f t="shared" ca="1" si="220"/>
        <v>77.312437105116075</v>
      </c>
      <c r="P476" s="310">
        <f t="shared" ca="1" si="221"/>
        <v>23</v>
      </c>
      <c r="Q476" s="304">
        <f t="shared" ca="1" si="222"/>
        <v>0</v>
      </c>
      <c r="R476" s="306">
        <f t="shared" ca="1" si="223"/>
        <v>0</v>
      </c>
      <c r="S476" s="307">
        <f t="shared" ca="1" si="224"/>
        <v>5.6519999999999806</v>
      </c>
      <c r="T476" s="304">
        <f t="shared" ca="1" si="204"/>
        <v>55.446119999999816</v>
      </c>
      <c r="U476" s="311">
        <f t="shared" ca="1" si="205"/>
        <v>0</v>
      </c>
      <c r="V476" s="306">
        <f t="shared" ca="1" si="206"/>
        <v>0.90459970190937389</v>
      </c>
      <c r="W476" s="304">
        <f t="shared" ca="1" si="207"/>
        <v>31.618177860727673</v>
      </c>
      <c r="Y476" s="314" t="str">
        <f t="shared" ca="1" si="225"/>
        <v/>
      </c>
      <c r="Z476" s="315" t="str">
        <f t="shared" ca="1" si="226"/>
        <v/>
      </c>
      <c r="AA476" s="316" t="str">
        <f t="shared" ca="1" si="227"/>
        <v/>
      </c>
      <c r="AC476" s="310" t="e">
        <f t="shared" ca="1" si="228"/>
        <v>#N/A</v>
      </c>
      <c r="AD476" s="323" t="e">
        <f t="shared" ca="1" si="229"/>
        <v>#N/A</v>
      </c>
      <c r="AE476" s="324">
        <f t="shared" ca="1" si="208"/>
        <v>3009.0189982968063</v>
      </c>
      <c r="AG476" s="306">
        <f t="shared" ca="1" si="230"/>
        <v>-15.294491088506984</v>
      </c>
      <c r="AH476" s="304">
        <f t="shared" ca="1" si="231"/>
        <v>-5.720865692389709</v>
      </c>
    </row>
    <row r="477" spans="1:34" x14ac:dyDescent="0.2">
      <c r="A477" s="347">
        <f t="shared" ca="1" si="209"/>
        <v>0.1</v>
      </c>
      <c r="B477" s="304">
        <f t="shared" ca="1" si="210"/>
        <v>15.299999999999889</v>
      </c>
      <c r="D477" s="306">
        <f t="shared" ca="1" si="211"/>
        <v>-1.2286696449303769</v>
      </c>
      <c r="E477" s="307">
        <f t="shared" ca="1" si="212"/>
        <v>-15.267560662661298</v>
      </c>
      <c r="F477" s="304">
        <f t="shared" ca="1" si="213"/>
        <v>15.316919980349054</v>
      </c>
      <c r="G477" s="306">
        <f t="shared" ca="1" si="214"/>
        <v>31.791307206762252</v>
      </c>
      <c r="H477" s="307">
        <f t="shared" ca="1" si="215"/>
        <v>140.23107302719518</v>
      </c>
      <c r="I477" s="304">
        <f t="shared" ca="1" si="216"/>
        <v>143.78957214023998</v>
      </c>
      <c r="J477" s="306">
        <f t="shared" ca="1" si="217"/>
        <v>493.88172210006871</v>
      </c>
      <c r="K477" s="307">
        <f t="shared" ca="1" si="218"/>
        <v>3023.1184434028391</v>
      </c>
      <c r="L477" s="304">
        <f t="shared" ca="1" si="203"/>
        <v>3063.1951094024253</v>
      </c>
      <c r="M477" s="306">
        <f t="shared" ca="1" si="219"/>
        <v>1.3478581303415189</v>
      </c>
      <c r="N477" s="304">
        <f t="shared" ca="1" si="220"/>
        <v>77.226582250963048</v>
      </c>
      <c r="P477" s="310">
        <f t="shared" ca="1" si="221"/>
        <v>23</v>
      </c>
      <c r="Q477" s="304">
        <f t="shared" ca="1" si="222"/>
        <v>0</v>
      </c>
      <c r="R477" s="306">
        <f t="shared" ca="1" si="223"/>
        <v>0</v>
      </c>
      <c r="S477" s="307">
        <f t="shared" ca="1" si="224"/>
        <v>5.6519999999999806</v>
      </c>
      <c r="T477" s="304">
        <f t="shared" ca="1" si="204"/>
        <v>55.446119999999816</v>
      </c>
      <c r="U477" s="311">
        <f t="shared" ca="1" si="205"/>
        <v>0</v>
      </c>
      <c r="V477" s="306">
        <f t="shared" ca="1" si="206"/>
        <v>0.90329552697022708</v>
      </c>
      <c r="W477" s="304">
        <f t="shared" ca="1" si="207"/>
        <v>30.917096851662858</v>
      </c>
      <c r="Y477" s="314" t="str">
        <f t="shared" ca="1" si="225"/>
        <v/>
      </c>
      <c r="Z477" s="315" t="str">
        <f t="shared" ca="1" si="226"/>
        <v/>
      </c>
      <c r="AA477" s="316" t="str">
        <f t="shared" ca="1" si="227"/>
        <v/>
      </c>
      <c r="AC477" s="310" t="e">
        <f t="shared" ca="1" si="228"/>
        <v>#N/A</v>
      </c>
      <c r="AD477" s="323" t="e">
        <f t="shared" ca="1" si="229"/>
        <v>#N/A</v>
      </c>
      <c r="AE477" s="324">
        <f t="shared" ca="1" si="208"/>
        <v>3023.1184434028391</v>
      </c>
      <c r="AG477" s="306">
        <f t="shared" ca="1" si="230"/>
        <v>-15.164619241979461</v>
      </c>
      <c r="AH477" s="304">
        <f t="shared" ca="1" si="231"/>
        <v>-5.5941574417423539</v>
      </c>
    </row>
    <row r="478" spans="1:34" x14ac:dyDescent="0.2">
      <c r="A478" s="347">
        <f t="shared" ca="1" si="209"/>
        <v>0.1</v>
      </c>
      <c r="B478" s="304">
        <f t="shared" ca="1" si="210"/>
        <v>15.399999999999888</v>
      </c>
      <c r="D478" s="306">
        <f t="shared" ca="1" si="211"/>
        <v>-1.209421117849653</v>
      </c>
      <c r="E478" s="307">
        <f t="shared" ca="1" si="212"/>
        <v>-15.144741978201253</v>
      </c>
      <c r="F478" s="304">
        <f t="shared" ca="1" si="213"/>
        <v>15.192955901554901</v>
      </c>
      <c r="G478" s="306">
        <f t="shared" ca="1" si="214"/>
        <v>31.670365094977285</v>
      </c>
      <c r="H478" s="307">
        <f t="shared" ca="1" si="215"/>
        <v>138.71659882937504</v>
      </c>
      <c r="I478" s="304">
        <f t="shared" ca="1" si="216"/>
        <v>142.2860035844669</v>
      </c>
      <c r="J478" s="306">
        <f t="shared" ca="1" si="217"/>
        <v>497.05480571515568</v>
      </c>
      <c r="K478" s="307">
        <f t="shared" ca="1" si="218"/>
        <v>3037.0658269956675</v>
      </c>
      <c r="L478" s="304">
        <f t="shared" ca="1" si="203"/>
        <v>3077.4717411195525</v>
      </c>
      <c r="M478" s="306">
        <f t="shared" ca="1" si="219"/>
        <v>1.3463337687818784</v>
      </c>
      <c r="N478" s="304">
        <f t="shared" ca="1" si="220"/>
        <v>77.139242767143656</v>
      </c>
      <c r="P478" s="310">
        <f t="shared" ca="1" si="221"/>
        <v>23</v>
      </c>
      <c r="Q478" s="304">
        <f t="shared" ca="1" si="222"/>
        <v>0</v>
      </c>
      <c r="R478" s="306">
        <f t="shared" ca="1" si="223"/>
        <v>0</v>
      </c>
      <c r="S478" s="307">
        <f t="shared" ca="1" si="224"/>
        <v>5.6519999999999806</v>
      </c>
      <c r="T478" s="304">
        <f t="shared" ca="1" si="204"/>
        <v>55.446119999999816</v>
      </c>
      <c r="U478" s="311">
        <f t="shared" ca="1" si="205"/>
        <v>0</v>
      </c>
      <c r="V478" s="306">
        <f t="shared" ca="1" si="206"/>
        <v>0.90200698812867153</v>
      </c>
      <c r="W478" s="304">
        <f t="shared" ca="1" si="207"/>
        <v>30.230708732969077</v>
      </c>
      <c r="Y478" s="314" t="str">
        <f t="shared" ca="1" si="225"/>
        <v/>
      </c>
      <c r="Z478" s="315" t="str">
        <f t="shared" ca="1" si="226"/>
        <v/>
      </c>
      <c r="AA478" s="316" t="str">
        <f t="shared" ca="1" si="227"/>
        <v/>
      </c>
      <c r="AC478" s="310" t="e">
        <f t="shared" ca="1" si="228"/>
        <v>#N/A</v>
      </c>
      <c r="AD478" s="323" t="e">
        <f t="shared" ca="1" si="229"/>
        <v>#N/A</v>
      </c>
      <c r="AE478" s="324">
        <f t="shared" ca="1" si="208"/>
        <v>3037.0658269956675</v>
      </c>
      <c r="AG478" s="306">
        <f t="shared" ca="1" si="230"/>
        <v>-15.037338691808863</v>
      </c>
      <c r="AH478" s="304">
        <f t="shared" ca="1" si="231"/>
        <v>-5.4701162157931646</v>
      </c>
    </row>
    <row r="479" spans="1:34" x14ac:dyDescent="0.2">
      <c r="A479" s="347">
        <f t="shared" ca="1" si="209"/>
        <v>0.1</v>
      </c>
      <c r="B479" s="304">
        <f t="shared" ca="1" si="210"/>
        <v>15.499999999999888</v>
      </c>
      <c r="D479" s="306">
        <f t="shared" ca="1" si="211"/>
        <v>-1.1905210104549684</v>
      </c>
      <c r="E479" s="307">
        <f t="shared" ca="1" si="212"/>
        <v>-15.024497051422216</v>
      </c>
      <c r="F479" s="304">
        <f t="shared" ca="1" si="213"/>
        <v>15.071590888971528</v>
      </c>
      <c r="G479" s="306">
        <f t="shared" ca="1" si="214"/>
        <v>31.551312993931788</v>
      </c>
      <c r="H479" s="307">
        <f t="shared" ca="1" si="215"/>
        <v>137.21414912423282</v>
      </c>
      <c r="I479" s="304">
        <f t="shared" ca="1" si="216"/>
        <v>140.79491493490897</v>
      </c>
      <c r="J479" s="306">
        <f t="shared" ca="1" si="217"/>
        <v>500.21588961960111</v>
      </c>
      <c r="K479" s="307">
        <f t="shared" ca="1" si="218"/>
        <v>3050.8623643933479</v>
      </c>
      <c r="L479" s="304">
        <f t="shared" ca="1" si="203"/>
        <v>3091.5978235695043</v>
      </c>
      <c r="M479" s="306">
        <f t="shared" ca="1" si="219"/>
        <v>1.344782906976778</v>
      </c>
      <c r="N479" s="304">
        <f t="shared" ca="1" si="220"/>
        <v>77.050384931103366</v>
      </c>
      <c r="P479" s="310">
        <f t="shared" ca="1" si="221"/>
        <v>23</v>
      </c>
      <c r="Q479" s="304">
        <f t="shared" ca="1" si="222"/>
        <v>0</v>
      </c>
      <c r="R479" s="306">
        <f t="shared" ca="1" si="223"/>
        <v>0</v>
      </c>
      <c r="S479" s="307">
        <f t="shared" ca="1" si="224"/>
        <v>5.6519999999999806</v>
      </c>
      <c r="T479" s="304">
        <f t="shared" ca="1" si="204"/>
        <v>55.446119999999816</v>
      </c>
      <c r="U479" s="311">
        <f t="shared" ca="1" si="205"/>
        <v>0</v>
      </c>
      <c r="V479" s="306">
        <f t="shared" ca="1" si="206"/>
        <v>0.90073391942551684</v>
      </c>
      <c r="W479" s="304">
        <f t="shared" ca="1" si="207"/>
        <v>29.558644952357955</v>
      </c>
      <c r="Y479" s="314" t="str">
        <f t="shared" ca="1" si="225"/>
        <v/>
      </c>
      <c r="Z479" s="315" t="str">
        <f t="shared" ca="1" si="226"/>
        <v/>
      </c>
      <c r="AA479" s="316" t="str">
        <f t="shared" ca="1" si="227"/>
        <v/>
      </c>
      <c r="AC479" s="310" t="e">
        <f t="shared" ca="1" si="228"/>
        <v>#N/A</v>
      </c>
      <c r="AD479" s="323" t="e">
        <f t="shared" ca="1" si="229"/>
        <v>#N/A</v>
      </c>
      <c r="AE479" s="324">
        <f t="shared" ca="1" si="208"/>
        <v>3050.8623643933479</v>
      </c>
      <c r="AG479" s="306">
        <f t="shared" ca="1" si="230"/>
        <v>-14.912579675414063</v>
      </c>
      <c r="AH479" s="304">
        <f t="shared" ca="1" si="231"/>
        <v>-5.3486745812047385</v>
      </c>
    </row>
    <row r="480" spans="1:34" x14ac:dyDescent="0.2">
      <c r="A480" s="347">
        <f t="shared" ca="1" si="209"/>
        <v>0.1</v>
      </c>
      <c r="B480" s="304">
        <f t="shared" ca="1" si="210"/>
        <v>15.599999999999888</v>
      </c>
      <c r="D480" s="306">
        <f t="shared" ca="1" si="211"/>
        <v>-1.1719601237616124</v>
      </c>
      <c r="E480" s="307">
        <f t="shared" ca="1" si="212"/>
        <v>-14.90676130500206</v>
      </c>
      <c r="F480" s="304">
        <f t="shared" ca="1" si="213"/>
        <v>14.952759716386607</v>
      </c>
      <c r="G480" s="306">
        <f t="shared" ca="1" si="214"/>
        <v>31.434116981555626</v>
      </c>
      <c r="H480" s="307">
        <f t="shared" ca="1" si="215"/>
        <v>135.7234729937326</v>
      </c>
      <c r="I480" s="304">
        <f t="shared" ca="1" si="216"/>
        <v>139.31606092583363</v>
      </c>
      <c r="J480" s="306">
        <f t="shared" ca="1" si="217"/>
        <v>503.36516111837551</v>
      </c>
      <c r="K480" s="307">
        <f t="shared" ca="1" si="218"/>
        <v>3064.5092454992459</v>
      </c>
      <c r="L480" s="304">
        <f t="shared" ca="1" si="203"/>
        <v>3105.5745686069245</v>
      </c>
      <c r="M480" s="306">
        <f t="shared" ca="1" si="219"/>
        <v>1.3432049379723825</v>
      </c>
      <c r="N480" s="304">
        <f t="shared" ca="1" si="220"/>
        <v>76.95997396694905</v>
      </c>
      <c r="P480" s="310">
        <f t="shared" ca="1" si="221"/>
        <v>23</v>
      </c>
      <c r="Q480" s="304">
        <f t="shared" ca="1" si="222"/>
        <v>0</v>
      </c>
      <c r="R480" s="306">
        <f t="shared" ca="1" si="223"/>
        <v>0</v>
      </c>
      <c r="S480" s="307">
        <f t="shared" ca="1" si="224"/>
        <v>5.6519999999999806</v>
      </c>
      <c r="T480" s="304">
        <f t="shared" ca="1" si="204"/>
        <v>55.446119999999816</v>
      </c>
      <c r="U480" s="311">
        <f t="shared" ca="1" si="205"/>
        <v>0</v>
      </c>
      <c r="V480" s="306">
        <f t="shared" ca="1" si="206"/>
        <v>0.89947615851881813</v>
      </c>
      <c r="W480" s="304">
        <f t="shared" ca="1" si="207"/>
        <v>28.90054904774744</v>
      </c>
      <c r="Y480" s="314" t="str">
        <f t="shared" ca="1" si="225"/>
        <v/>
      </c>
      <c r="Z480" s="315" t="str">
        <f t="shared" ca="1" si="226"/>
        <v/>
      </c>
      <c r="AA480" s="316" t="str">
        <f t="shared" ca="1" si="227"/>
        <v/>
      </c>
      <c r="AC480" s="310" t="e">
        <f t="shared" ca="1" si="228"/>
        <v>#N/A</v>
      </c>
      <c r="AD480" s="323" t="e">
        <f t="shared" ca="1" si="229"/>
        <v>#N/A</v>
      </c>
      <c r="AE480" s="324">
        <f t="shared" ca="1" si="208"/>
        <v>3064.5092454992459</v>
      </c>
      <c r="AG480" s="306">
        <f t="shared" ca="1" si="230"/>
        <v>-14.790274565724339</v>
      </c>
      <c r="AH480" s="304">
        <f t="shared" ca="1" si="231"/>
        <v>-5.2297673305658279</v>
      </c>
    </row>
    <row r="481" spans="1:34" x14ac:dyDescent="0.2">
      <c r="A481" s="347">
        <f t="shared" ca="1" si="209"/>
        <v>0.1</v>
      </c>
      <c r="B481" s="304">
        <f t="shared" ca="1" si="210"/>
        <v>15.699999999999887</v>
      </c>
      <c r="D481" s="306">
        <f t="shared" ca="1" si="211"/>
        <v>-1.1537295569912647</v>
      </c>
      <c r="E481" s="307">
        <f t="shared" ca="1" si="212"/>
        <v>-14.791472279378967</v>
      </c>
      <c r="F481" s="304">
        <f t="shared" ca="1" si="213"/>
        <v>14.836399296403142</v>
      </c>
      <c r="G481" s="306">
        <f t="shared" ca="1" si="214"/>
        <v>31.3187440258565</v>
      </c>
      <c r="H481" s="307">
        <f t="shared" ca="1" si="215"/>
        <v>134.24432576579471</v>
      </c>
      <c r="I481" s="304">
        <f t="shared" ca="1" si="216"/>
        <v>137.84920285467717</v>
      </c>
      <c r="J481" s="306">
        <f t="shared" ca="1" si="217"/>
        <v>506.50280416874614</v>
      </c>
      <c r="K481" s="307">
        <f t="shared" ca="1" si="218"/>
        <v>3078.0076354372222</v>
      </c>
      <c r="L481" s="304">
        <f t="shared" ca="1" si="203"/>
        <v>3119.4031631773155</v>
      </c>
      <c r="M481" s="306">
        <f t="shared" ca="1" si="219"/>
        <v>1.3415992357315101</v>
      </c>
      <c r="N481" s="304">
        <f t="shared" ca="1" si="220"/>
        <v>76.867974005392355</v>
      </c>
      <c r="P481" s="310">
        <f t="shared" ca="1" si="221"/>
        <v>23</v>
      </c>
      <c r="Q481" s="304">
        <f t="shared" ca="1" si="222"/>
        <v>0</v>
      </c>
      <c r="R481" s="306">
        <f t="shared" ca="1" si="223"/>
        <v>0</v>
      </c>
      <c r="S481" s="307">
        <f t="shared" ca="1" si="224"/>
        <v>5.6519999999999806</v>
      </c>
      <c r="T481" s="304">
        <f t="shared" ca="1" si="204"/>
        <v>55.446119999999816</v>
      </c>
      <c r="U481" s="311">
        <f t="shared" ca="1" si="205"/>
        <v>0</v>
      </c>
      <c r="V481" s="306">
        <f t="shared" ca="1" si="206"/>
        <v>0.89823354658911303</v>
      </c>
      <c r="W481" s="304">
        <f t="shared" ca="1" si="207"/>
        <v>28.256076178958217</v>
      </c>
      <c r="Y481" s="314" t="str">
        <f t="shared" ca="1" si="225"/>
        <v/>
      </c>
      <c r="Z481" s="315" t="str">
        <f t="shared" ca="1" si="226"/>
        <v/>
      </c>
      <c r="AA481" s="316" t="str">
        <f t="shared" ca="1" si="227"/>
        <v/>
      </c>
      <c r="AC481" s="310" t="e">
        <f t="shared" ca="1" si="228"/>
        <v>#N/A</v>
      </c>
      <c r="AD481" s="323" t="e">
        <f t="shared" ca="1" si="229"/>
        <v>#N/A</v>
      </c>
      <c r="AE481" s="324">
        <f t="shared" ca="1" si="208"/>
        <v>3078.0076354372222</v>
      </c>
      <c r="AG481" s="306">
        <f t="shared" ca="1" si="230"/>
        <v>-14.670357780180311</v>
      </c>
      <c r="AH481" s="304">
        <f t="shared" ca="1" si="231"/>
        <v>-5.1133313955675055</v>
      </c>
    </row>
    <row r="482" spans="1:34" x14ac:dyDescent="0.2">
      <c r="A482" s="347">
        <f t="shared" ca="1" si="209"/>
        <v>0.1</v>
      </c>
      <c r="B482" s="304">
        <f t="shared" ca="1" si="210"/>
        <v>15.799999999999887</v>
      </c>
      <c r="D482" s="306">
        <f t="shared" ca="1" si="211"/>
        <v>-1.135820696035265</v>
      </c>
      <c r="E482" s="307">
        <f t="shared" ca="1" si="212"/>
        <v>-14.678569550688422</v>
      </c>
      <c r="F482" s="304">
        <f t="shared" ca="1" si="213"/>
        <v>14.722448597564854</v>
      </c>
      <c r="G482" s="306">
        <f t="shared" ca="1" si="214"/>
        <v>31.205161956252972</v>
      </c>
      <c r="H482" s="307">
        <f t="shared" ca="1" si="215"/>
        <v>132.77646881072587</v>
      </c>
      <c r="I482" s="304">
        <f t="shared" ca="1" si="216"/>
        <v>136.39410838654888</v>
      </c>
      <c r="J482" s="306">
        <f t="shared" ca="1" si="217"/>
        <v>509.6289994678516</v>
      </c>
      <c r="K482" s="307">
        <f t="shared" ca="1" si="218"/>
        <v>3091.3586751660482</v>
      </c>
      <c r="L482" s="304">
        <f t="shared" ca="1" si="203"/>
        <v>3133.0847699388837</v>
      </c>
      <c r="M482" s="306">
        <f t="shared" ca="1" si="219"/>
        <v>1.339965154402764</v>
      </c>
      <c r="N482" s="304">
        <f t="shared" ca="1" si="220"/>
        <v>76.774348041874077</v>
      </c>
      <c r="P482" s="310">
        <f t="shared" ca="1" si="221"/>
        <v>23</v>
      </c>
      <c r="Q482" s="304">
        <f t="shared" ca="1" si="222"/>
        <v>0</v>
      </c>
      <c r="R482" s="306">
        <f t="shared" ca="1" si="223"/>
        <v>0</v>
      </c>
      <c r="S482" s="307">
        <f t="shared" ca="1" si="224"/>
        <v>5.6519999999999806</v>
      </c>
      <c r="T482" s="304">
        <f t="shared" ca="1" si="204"/>
        <v>55.446119999999816</v>
      </c>
      <c r="U482" s="311">
        <f t="shared" ca="1" si="205"/>
        <v>0</v>
      </c>
      <c r="V482" s="306">
        <f t="shared" ca="1" si="206"/>
        <v>0.89700592824785996</v>
      </c>
      <c r="W482" s="304">
        <f t="shared" ca="1" si="207"/>
        <v>27.624892680669227</v>
      </c>
      <c r="Y482" s="314" t="str">
        <f t="shared" ca="1" si="225"/>
        <v/>
      </c>
      <c r="Z482" s="315" t="str">
        <f t="shared" ca="1" si="226"/>
        <v/>
      </c>
      <c r="AA482" s="316" t="str">
        <f t="shared" ca="1" si="227"/>
        <v/>
      </c>
      <c r="AC482" s="310" t="e">
        <f t="shared" ca="1" si="228"/>
        <v>#N/A</v>
      </c>
      <c r="AD482" s="323" t="e">
        <f t="shared" ca="1" si="229"/>
        <v>#N/A</v>
      </c>
      <c r="AE482" s="324">
        <f t="shared" ca="1" si="208"/>
        <v>3091.3586751660482</v>
      </c>
      <c r="AG482" s="306">
        <f t="shared" ca="1" si="230"/>
        <v>-14.552765693478396</v>
      </c>
      <c r="AH482" s="304">
        <f t="shared" ca="1" si="231"/>
        <v>-4.9993057641469063</v>
      </c>
    </row>
    <row r="483" spans="1:34" x14ac:dyDescent="0.2">
      <c r="A483" s="347">
        <f t="shared" ca="1" si="209"/>
        <v>0.1</v>
      </c>
      <c r="B483" s="304">
        <f t="shared" ca="1" si="210"/>
        <v>15.899999999999887</v>
      </c>
      <c r="D483" s="306">
        <f t="shared" ca="1" si="211"/>
        <v>-1.1182252024454451</v>
      </c>
      <c r="E483" s="307">
        <f t="shared" ca="1" si="212"/>
        <v>-14.567994652423643</v>
      </c>
      <c r="F483" s="304">
        <f t="shared" ca="1" si="213"/>
        <v>14.610848565241788</v>
      </c>
      <c r="G483" s="306">
        <f t="shared" ca="1" si="214"/>
        <v>31.093339436008428</v>
      </c>
      <c r="H483" s="307">
        <f t="shared" ca="1" si="215"/>
        <v>131.3196693454835</v>
      </c>
      <c r="I483" s="304">
        <f t="shared" ca="1" si="216"/>
        <v>134.95055136712097</v>
      </c>
      <c r="J483" s="306">
        <f t="shared" ca="1" si="217"/>
        <v>512.74392453746464</v>
      </c>
      <c r="K483" s="307">
        <f t="shared" ca="1" si="218"/>
        <v>3104.5634820738587</v>
      </c>
      <c r="L483" s="304">
        <f t="shared" ca="1" si="203"/>
        <v>3146.6205278642424</v>
      </c>
      <c r="M483" s="306">
        <f t="shared" ca="1" si="219"/>
        <v>1.3383020275562598</v>
      </c>
      <c r="N483" s="304">
        <f t="shared" ca="1" si="220"/>
        <v>76.67905789277448</v>
      </c>
      <c r="P483" s="310">
        <f t="shared" ca="1" si="221"/>
        <v>23</v>
      </c>
      <c r="Q483" s="304">
        <f t="shared" ca="1" si="222"/>
        <v>0</v>
      </c>
      <c r="R483" s="306">
        <f t="shared" ca="1" si="223"/>
        <v>0</v>
      </c>
      <c r="S483" s="307">
        <f t="shared" ca="1" si="224"/>
        <v>5.6519999999999806</v>
      </c>
      <c r="T483" s="304">
        <f t="shared" ca="1" si="204"/>
        <v>55.446119999999816</v>
      </c>
      <c r="U483" s="311">
        <f t="shared" ca="1" si="205"/>
        <v>0</v>
      </c>
      <c r="V483" s="306">
        <f t="shared" ca="1" si="206"/>
        <v>0.8957931514489611</v>
      </c>
      <c r="W483" s="304">
        <f t="shared" ca="1" si="207"/>
        <v>27.006675635535739</v>
      </c>
      <c r="Y483" s="314" t="str">
        <f t="shared" ca="1" si="225"/>
        <v/>
      </c>
      <c r="Z483" s="315" t="str">
        <f t="shared" ca="1" si="226"/>
        <v/>
      </c>
      <c r="AA483" s="316" t="str">
        <f t="shared" ca="1" si="227"/>
        <v/>
      </c>
      <c r="AC483" s="310" t="e">
        <f t="shared" ca="1" si="228"/>
        <v>#N/A</v>
      </c>
      <c r="AD483" s="323" t="e">
        <f t="shared" ca="1" si="229"/>
        <v>#N/A</v>
      </c>
      <c r="AE483" s="324">
        <f t="shared" ca="1" si="208"/>
        <v>3104.5634820738587</v>
      </c>
      <c r="AG483" s="306">
        <f t="shared" ca="1" si="230"/>
        <v>-14.437436553838882</v>
      </c>
      <c r="AH483" s="304">
        <f t="shared" ca="1" si="231"/>
        <v>-4.8876314013923077</v>
      </c>
    </row>
    <row r="484" spans="1:34" x14ac:dyDescent="0.2">
      <c r="A484" s="347">
        <f t="shared" ca="1" si="209"/>
        <v>0.1</v>
      </c>
      <c r="B484" s="304">
        <f t="shared" ca="1" si="210"/>
        <v>15.999999999999886</v>
      </c>
      <c r="D484" s="306">
        <f t="shared" ca="1" si="211"/>
        <v>-1.1009350029255873</v>
      </c>
      <c r="E484" s="307">
        <f t="shared" ca="1" si="212"/>
        <v>-14.459691000627259</v>
      </c>
      <c r="F484" s="304">
        <f t="shared" ca="1" si="213"/>
        <v>14.501542046082125</v>
      </c>
      <c r="G484" s="306">
        <f t="shared" ca="1" si="214"/>
        <v>30.983245935715868</v>
      </c>
      <c r="H484" s="307">
        <f t="shared" ca="1" si="215"/>
        <v>129.87370024542076</v>
      </c>
      <c r="I484" s="304">
        <f t="shared" ca="1" si="216"/>
        <v>133.51831164357367</v>
      </c>
      <c r="J484" s="306">
        <f t="shared" ca="1" si="217"/>
        <v>515.84775380605083</v>
      </c>
      <c r="K484" s="307">
        <f t="shared" ca="1" si="218"/>
        <v>3117.6231505534038</v>
      </c>
      <c r="L484" s="304">
        <f t="shared" ca="1" si="203"/>
        <v>3160.0115528227548</v>
      </c>
      <c r="M484" s="306">
        <f t="shared" ca="1" si="219"/>
        <v>1.3366091673842027</v>
      </c>
      <c r="N484" s="304">
        <f t="shared" ca="1" si="220"/>
        <v>76.58206414960982</v>
      </c>
      <c r="P484" s="310">
        <f t="shared" ca="1" si="221"/>
        <v>23</v>
      </c>
      <c r="Q484" s="304">
        <f t="shared" ca="1" si="222"/>
        <v>0</v>
      </c>
      <c r="R484" s="306">
        <f t="shared" ca="1" si="223"/>
        <v>0</v>
      </c>
      <c r="S484" s="307">
        <f t="shared" ca="1" si="224"/>
        <v>5.6519999999999806</v>
      </c>
      <c r="T484" s="304">
        <f t="shared" ca="1" si="204"/>
        <v>55.446119999999816</v>
      </c>
      <c r="U484" s="311">
        <f t="shared" ca="1" si="205"/>
        <v>0</v>
      </c>
      <c r="V484" s="306">
        <f t="shared" ca="1" si="206"/>
        <v>0.89459506740324246</v>
      </c>
      <c r="W484" s="304">
        <f t="shared" ca="1" si="207"/>
        <v>26.401112466436118</v>
      </c>
      <c r="Y484" s="314" t="str">
        <f t="shared" ca="1" si="225"/>
        <v/>
      </c>
      <c r="Z484" s="315" t="str">
        <f t="shared" ca="1" si="226"/>
        <v/>
      </c>
      <c r="AA484" s="316" t="str">
        <f t="shared" ca="1" si="227"/>
        <v/>
      </c>
      <c r="AC484" s="310">
        <f t="shared" ca="1" si="228"/>
        <v>15.999999999999886</v>
      </c>
      <c r="AD484" s="323">
        <f t="shared" ca="1" si="229"/>
        <v>515.84775380605083</v>
      </c>
      <c r="AE484" s="324">
        <f t="shared" ca="1" si="208"/>
        <v>3117.6231505534038</v>
      </c>
      <c r="AG484" s="306">
        <f t="shared" ca="1" si="230"/>
        <v>-14.324310402589084</v>
      </c>
      <c r="AH484" s="304">
        <f t="shared" ca="1" si="231"/>
        <v>-4.7782511740155398</v>
      </c>
    </row>
    <row r="485" spans="1:34" x14ac:dyDescent="0.2">
      <c r="A485" s="347">
        <f t="shared" ca="1" si="209"/>
        <v>0.1</v>
      </c>
      <c r="B485" s="304">
        <f t="shared" ca="1" si="210"/>
        <v>16.099999999999888</v>
      </c>
      <c r="D485" s="306">
        <f t="shared" ca="1" si="211"/>
        <v>-1.0839422792981113</v>
      </c>
      <c r="E485" s="307">
        <f t="shared" ca="1" si="212"/>
        <v>-14.353603822433026</v>
      </c>
      <c r="F485" s="304">
        <f t="shared" ca="1" si="213"/>
        <v>14.394473715847132</v>
      </c>
      <c r="G485" s="306">
        <f t="shared" ca="1" si="214"/>
        <v>30.874851707786057</v>
      </c>
      <c r="H485" s="307">
        <f t="shared" ca="1" si="215"/>
        <v>128.43833986317748</v>
      </c>
      <c r="I485" s="304">
        <f t="shared" ca="1" si="216"/>
        <v>132.09717489328401</v>
      </c>
      <c r="J485" s="306">
        <f t="shared" ca="1" si="217"/>
        <v>518.94065868822588</v>
      </c>
      <c r="K485" s="307">
        <f t="shared" ca="1" si="218"/>
        <v>3130.5387525588335</v>
      </c>
      <c r="L485" s="304">
        <f t="shared" ca="1" si="203"/>
        <v>3173.2589381442522</v>
      </c>
      <c r="M485" s="306">
        <f t="shared" ca="1" si="219"/>
        <v>1.3348858638644581</v>
      </c>
      <c r="N485" s="304">
        <f t="shared" ca="1" si="220"/>
        <v>76.483326131108413</v>
      </c>
      <c r="P485" s="310">
        <f t="shared" ca="1" si="221"/>
        <v>23</v>
      </c>
      <c r="Q485" s="304">
        <f t="shared" ca="1" si="222"/>
        <v>0</v>
      </c>
      <c r="R485" s="306">
        <f t="shared" ca="1" si="223"/>
        <v>0</v>
      </c>
      <c r="S485" s="307">
        <f t="shared" ca="1" si="224"/>
        <v>5.6519999999999806</v>
      </c>
      <c r="T485" s="304">
        <f t="shared" ca="1" si="204"/>
        <v>55.446119999999816</v>
      </c>
      <c r="U485" s="311">
        <f t="shared" ca="1" si="205"/>
        <v>0</v>
      </c>
      <c r="V485" s="306">
        <f t="shared" ca="1" si="206"/>
        <v>0.89341153049577526</v>
      </c>
      <c r="W485" s="304">
        <f t="shared" ca="1" si="207"/>
        <v>25.807900546872954</v>
      </c>
      <c r="Y485" s="314" t="str">
        <f t="shared" ca="1" si="225"/>
        <v/>
      </c>
      <c r="Z485" s="315" t="str">
        <f t="shared" ca="1" si="226"/>
        <v/>
      </c>
      <c r="AA485" s="316" t="str">
        <f t="shared" ca="1" si="227"/>
        <v/>
      </c>
      <c r="AC485" s="310" t="e">
        <f t="shared" ca="1" si="228"/>
        <v>#N/A</v>
      </c>
      <c r="AD485" s="323" t="e">
        <f t="shared" ca="1" si="229"/>
        <v>#N/A</v>
      </c>
      <c r="AE485" s="324">
        <f t="shared" ca="1" si="208"/>
        <v>3130.5387525588335</v>
      </c>
      <c r="AG485" s="306">
        <f t="shared" ca="1" si="230"/>
        <v>-14.213328996863074</v>
      </c>
      <c r="AH485" s="304">
        <f t="shared" ca="1" si="231"/>
        <v>-4.6711097782088125</v>
      </c>
    </row>
    <row r="486" spans="1:34" x14ac:dyDescent="0.2">
      <c r="A486" s="347">
        <f t="shared" ca="1" si="209"/>
        <v>0.1</v>
      </c>
      <c r="B486" s="304">
        <f t="shared" ca="1" si="210"/>
        <v>16.199999999999889</v>
      </c>
      <c r="D486" s="306">
        <f t="shared" ca="1" si="211"/>
        <v>-1.0672394589220828</v>
      </c>
      <c r="E486" s="307">
        <f t="shared" ca="1" si="212"/>
        <v>-14.249680087786803</v>
      </c>
      <c r="F486" s="304">
        <f t="shared" ca="1" si="213"/>
        <v>14.289590010456843</v>
      </c>
      <c r="G486" s="306">
        <f t="shared" ca="1" si="214"/>
        <v>30.768127761893847</v>
      </c>
      <c r="H486" s="307">
        <f t="shared" ca="1" si="215"/>
        <v>127.0133718543988</v>
      </c>
      <c r="I486" s="304">
        <f t="shared" ca="1" si="216"/>
        <v>130.68693245996712</v>
      </c>
      <c r="J486" s="306">
        <f t="shared" ca="1" si="217"/>
        <v>522.02280766170986</v>
      </c>
      <c r="K486" s="307">
        <f t="shared" ca="1" si="218"/>
        <v>3143.3113381447124</v>
      </c>
      <c r="L486" s="304">
        <f t="shared" ca="1" si="203"/>
        <v>3186.3637551648303</v>
      </c>
      <c r="M486" s="306">
        <f t="shared" ca="1" si="219"/>
        <v>1.3331313838851597</v>
      </c>
      <c r="N486" s="304">
        <f t="shared" ca="1" si="220"/>
        <v>76.382801833054415</v>
      </c>
      <c r="P486" s="310">
        <f t="shared" ca="1" si="221"/>
        <v>23</v>
      </c>
      <c r="Q486" s="304">
        <f t="shared" ca="1" si="222"/>
        <v>0</v>
      </c>
      <c r="R486" s="306">
        <f t="shared" ca="1" si="223"/>
        <v>0</v>
      </c>
      <c r="S486" s="307">
        <f t="shared" ca="1" si="224"/>
        <v>5.6519999999999806</v>
      </c>
      <c r="T486" s="304">
        <f t="shared" ca="1" si="204"/>
        <v>55.446119999999816</v>
      </c>
      <c r="U486" s="311">
        <f t="shared" ca="1" si="205"/>
        <v>0</v>
      </c>
      <c r="V486" s="306">
        <f t="shared" ca="1" si="206"/>
        <v>0.8922423982059301</v>
      </c>
      <c r="W486" s="304">
        <f t="shared" ca="1" si="207"/>
        <v>25.226746828610516</v>
      </c>
      <c r="Y486" s="314" t="str">
        <f t="shared" ca="1" si="225"/>
        <v/>
      </c>
      <c r="Z486" s="315" t="str">
        <f t="shared" ca="1" si="226"/>
        <v/>
      </c>
      <c r="AA486" s="316" t="str">
        <f t="shared" ca="1" si="227"/>
        <v/>
      </c>
      <c r="AC486" s="310" t="e">
        <f t="shared" ca="1" si="228"/>
        <v>#N/A</v>
      </c>
      <c r="AD486" s="323" t="e">
        <f t="shared" ca="1" si="229"/>
        <v>#N/A</v>
      </c>
      <c r="AE486" s="324">
        <f t="shared" ca="1" si="208"/>
        <v>3143.3113381447124</v>
      </c>
      <c r="AG486" s="306">
        <f t="shared" ca="1" si="230"/>
        <v>-14.104435735229007</v>
      </c>
      <c r="AH486" s="304">
        <f t="shared" ca="1" si="231"/>
        <v>-4.5661536707135602</v>
      </c>
    </row>
    <row r="487" spans="1:34" x14ac:dyDescent="0.2">
      <c r="A487" s="347">
        <f t="shared" ca="1" si="209"/>
        <v>0.1</v>
      </c>
      <c r="B487" s="304">
        <f t="shared" ca="1" si="210"/>
        <v>16.299999999999891</v>
      </c>
      <c r="D487" s="306">
        <f t="shared" ca="1" si="211"/>
        <v>-1.0508192055400247</v>
      </c>
      <c r="E487" s="307">
        <f t="shared" ca="1" si="212"/>
        <v>-14.147868444185889</v>
      </c>
      <c r="F487" s="304">
        <f t="shared" ca="1" si="213"/>
        <v>14.186839060083914</v>
      </c>
      <c r="G487" s="306">
        <f t="shared" ca="1" si="214"/>
        <v>30.663045841339844</v>
      </c>
      <c r="H487" s="307">
        <f t="shared" ca="1" si="215"/>
        <v>125.59858500998021</v>
      </c>
      <c r="I487" s="304">
        <f t="shared" ca="1" si="216"/>
        <v>129.28738119699591</v>
      </c>
      <c r="J487" s="306">
        <f t="shared" ca="1" si="217"/>
        <v>525.09436634187159</v>
      </c>
      <c r="K487" s="307">
        <f t="shared" ca="1" si="218"/>
        <v>3155.9419359879312</v>
      </c>
      <c r="L487" s="304">
        <f t="shared" ca="1" si="203"/>
        <v>3199.3270537554022</v>
      </c>
      <c r="M487" s="306">
        <f t="shared" ca="1" si="219"/>
        <v>1.3313449703282707</v>
      </c>
      <c r="N487" s="304">
        <f t="shared" ca="1" si="220"/>
        <v>76.280447875779728</v>
      </c>
      <c r="P487" s="310">
        <f t="shared" ca="1" si="221"/>
        <v>23</v>
      </c>
      <c r="Q487" s="304">
        <f t="shared" ca="1" si="222"/>
        <v>0</v>
      </c>
      <c r="R487" s="306">
        <f t="shared" ca="1" si="223"/>
        <v>0</v>
      </c>
      <c r="S487" s="307">
        <f t="shared" ca="1" si="224"/>
        <v>5.6519999999999806</v>
      </c>
      <c r="T487" s="304">
        <f t="shared" ca="1" si="204"/>
        <v>55.446119999999816</v>
      </c>
      <c r="U487" s="311">
        <f t="shared" ca="1" si="205"/>
        <v>0</v>
      </c>
      <c r="V487" s="306">
        <f t="shared" ca="1" si="206"/>
        <v>0.89108753103005445</v>
      </c>
      <c r="W487" s="304">
        <f t="shared" ca="1" si="207"/>
        <v>24.657367485681654</v>
      </c>
      <c r="Y487" s="314" t="str">
        <f t="shared" ca="1" si="225"/>
        <v/>
      </c>
      <c r="Z487" s="315" t="str">
        <f t="shared" ca="1" si="226"/>
        <v/>
      </c>
      <c r="AA487" s="316" t="str">
        <f t="shared" ca="1" si="227"/>
        <v/>
      </c>
      <c r="AC487" s="310" t="e">
        <f t="shared" ca="1" si="228"/>
        <v>#N/A</v>
      </c>
      <c r="AD487" s="323" t="e">
        <f t="shared" ca="1" si="229"/>
        <v>#N/A</v>
      </c>
      <c r="AE487" s="324">
        <f t="shared" ca="1" si="208"/>
        <v>3155.9419359879312</v>
      </c>
      <c r="AG487" s="306">
        <f t="shared" ca="1" si="230"/>
        <v>-13.9975755860638</v>
      </c>
      <c r="AH487" s="304">
        <f t="shared" ca="1" si="231"/>
        <v>-4.4633310029388893</v>
      </c>
    </row>
    <row r="488" spans="1:34" x14ac:dyDescent="0.2">
      <c r="A488" s="347">
        <f t="shared" ca="1" si="209"/>
        <v>0.1</v>
      </c>
      <c r="B488" s="304">
        <f t="shared" ca="1" si="210"/>
        <v>16.399999999999892</v>
      </c>
      <c r="D488" s="306">
        <f t="shared" ca="1" si="211"/>
        <v>-1.0346744105323102</v>
      </c>
      <c r="E488" s="307">
        <f t="shared" ca="1" si="212"/>
        <v>-14.048119154284741</v>
      </c>
      <c r="F488" s="304">
        <f t="shared" ca="1" si="213"/>
        <v>14.086170626142231</v>
      </c>
      <c r="G488" s="306">
        <f t="shared" ca="1" si="214"/>
        <v>30.559578400286615</v>
      </c>
      <c r="H488" s="307">
        <f t="shared" ca="1" si="215"/>
        <v>124.19377309455174</v>
      </c>
      <c r="I488" s="304">
        <f t="shared" ca="1" si="216"/>
        <v>127.89832331764271</v>
      </c>
      <c r="J488" s="306">
        <f t="shared" ca="1" si="217"/>
        <v>528.15549755395296</v>
      </c>
      <c r="K488" s="307">
        <f t="shared" ca="1" si="218"/>
        <v>3168.4315538931578</v>
      </c>
      <c r="L488" s="304">
        <f t="shared" ca="1" si="203"/>
        <v>3212.1498628336558</v>
      </c>
      <c r="M488" s="306">
        <f t="shared" ca="1" si="219"/>
        <v>1.3295258411099018</v>
      </c>
      <c r="N488" s="304">
        <f t="shared" ca="1" si="220"/>
        <v>76.176219449178248</v>
      </c>
      <c r="P488" s="310">
        <f t="shared" ca="1" si="221"/>
        <v>23</v>
      </c>
      <c r="Q488" s="304">
        <f t="shared" ca="1" si="222"/>
        <v>0</v>
      </c>
      <c r="R488" s="306">
        <f t="shared" ca="1" si="223"/>
        <v>0</v>
      </c>
      <c r="S488" s="307">
        <f t="shared" ca="1" si="224"/>
        <v>5.6519999999999806</v>
      </c>
      <c r="T488" s="304">
        <f t="shared" ca="1" si="204"/>
        <v>55.446119999999816</v>
      </c>
      <c r="U488" s="311">
        <f t="shared" ca="1" si="205"/>
        <v>0</v>
      </c>
      <c r="V488" s="306">
        <f t="shared" ca="1" si="206"/>
        <v>0.88994679240667796</v>
      </c>
      <c r="W488" s="304">
        <f t="shared" ca="1" si="207"/>
        <v>24.099487573947254</v>
      </c>
      <c r="Y488" s="314" t="str">
        <f t="shared" ca="1" si="225"/>
        <v/>
      </c>
      <c r="Z488" s="315" t="str">
        <f t="shared" ca="1" si="226"/>
        <v/>
      </c>
      <c r="AA488" s="316" t="str">
        <f t="shared" ca="1" si="227"/>
        <v/>
      </c>
      <c r="AC488" s="310" t="e">
        <f t="shared" ca="1" si="228"/>
        <v>#N/A</v>
      </c>
      <c r="AD488" s="323" t="e">
        <f t="shared" ca="1" si="229"/>
        <v>#N/A</v>
      </c>
      <c r="AE488" s="324">
        <f t="shared" ca="1" si="208"/>
        <v>3168.4315538931578</v>
      </c>
      <c r="AG488" s="306">
        <f t="shared" ca="1" si="230"/>
        <v>-13.892695018502796</v>
      </c>
      <c r="AH488" s="304">
        <f t="shared" ca="1" si="231"/>
        <v>-4.3625915579762449</v>
      </c>
    </row>
    <row r="489" spans="1:34" x14ac:dyDescent="0.2">
      <c r="A489" s="347">
        <f t="shared" ca="1" si="209"/>
        <v>0.1</v>
      </c>
      <c r="B489" s="304">
        <f t="shared" ca="1" si="210"/>
        <v>16.499999999999893</v>
      </c>
      <c r="D489" s="306">
        <f t="shared" ca="1" si="211"/>
        <v>-1.0187981845591325</v>
      </c>
      <c r="E489" s="307">
        <f t="shared" ca="1" si="212"/>
        <v>-13.950384036223861</v>
      </c>
      <c r="F489" s="304">
        <f t="shared" ca="1" si="213"/>
        <v>13.987536041025615</v>
      </c>
      <c r="G489" s="306">
        <f t="shared" ca="1" si="214"/>
        <v>30.457698581830702</v>
      </c>
      <c r="H489" s="307">
        <f t="shared" ca="1" si="215"/>
        <v>122.79873469092936</v>
      </c>
      <c r="I489" s="304">
        <f t="shared" ca="1" si="216"/>
        <v>126.51956625200273</v>
      </c>
      <c r="J489" s="306">
        <f t="shared" ca="1" si="217"/>
        <v>531.20636140305885</v>
      </c>
      <c r="K489" s="307">
        <f t="shared" ca="1" si="218"/>
        <v>3180.7811792824318</v>
      </c>
      <c r="L489" s="304">
        <f t="shared" ca="1" si="203"/>
        <v>3224.8331908600194</v>
      </c>
      <c r="M489" s="306">
        <f t="shared" ca="1" si="219"/>
        <v>1.3276731881750456</v>
      </c>
      <c r="N489" s="304">
        <f t="shared" ca="1" si="220"/>
        <v>76.070070255108476</v>
      </c>
      <c r="P489" s="310">
        <f t="shared" ca="1" si="221"/>
        <v>23</v>
      </c>
      <c r="Q489" s="304">
        <f t="shared" ca="1" si="222"/>
        <v>0</v>
      </c>
      <c r="R489" s="306">
        <f t="shared" ca="1" si="223"/>
        <v>0</v>
      </c>
      <c r="S489" s="307">
        <f t="shared" ca="1" si="224"/>
        <v>5.6519999999999806</v>
      </c>
      <c r="T489" s="304">
        <f t="shared" ca="1" si="204"/>
        <v>55.446119999999816</v>
      </c>
      <c r="U489" s="311">
        <f t="shared" ca="1" si="205"/>
        <v>0</v>
      </c>
      <c r="V489" s="306">
        <f t="shared" ca="1" si="206"/>
        <v>0.88882004864414188</v>
      </c>
      <c r="W489" s="304">
        <f t="shared" ca="1" si="207"/>
        <v>23.552840705435909</v>
      </c>
      <c r="Y489" s="314" t="str">
        <f t="shared" ca="1" si="225"/>
        <v/>
      </c>
      <c r="Z489" s="315" t="str">
        <f t="shared" ca="1" si="226"/>
        <v/>
      </c>
      <c r="AA489" s="316" t="str">
        <f t="shared" ca="1" si="227"/>
        <v/>
      </c>
      <c r="AC489" s="310" t="e">
        <f t="shared" ca="1" si="228"/>
        <v>#N/A</v>
      </c>
      <c r="AD489" s="323" t="e">
        <f t="shared" ca="1" si="229"/>
        <v>#N/A</v>
      </c>
      <c r="AE489" s="324">
        <f t="shared" ca="1" si="208"/>
        <v>3180.7811792824318</v>
      </c>
      <c r="AG489" s="306">
        <f t="shared" ca="1" si="230"/>
        <v>-13.789741935799555</v>
      </c>
      <c r="AH489" s="304">
        <f t="shared" ca="1" si="231"/>
        <v>-4.2638866903657711</v>
      </c>
    </row>
    <row r="490" spans="1:34" x14ac:dyDescent="0.2">
      <c r="A490" s="347">
        <f t="shared" ca="1" si="209"/>
        <v>0.1</v>
      </c>
      <c r="B490" s="304">
        <f t="shared" ca="1" si="210"/>
        <v>16.599999999999895</v>
      </c>
      <c r="D490" s="306">
        <f t="shared" ca="1" si="211"/>
        <v>-1.0031838495711942</v>
      </c>
      <c r="E490" s="307">
        <f t="shared" ca="1" si="212"/>
        <v>-13.854616406546427</v>
      </c>
      <c r="F490" s="304">
        <f t="shared" ca="1" si="213"/>
        <v>13.890888150459851</v>
      </c>
      <c r="G490" s="306">
        <f t="shared" ca="1" si="214"/>
        <v>30.357380196873581</v>
      </c>
      <c r="H490" s="307">
        <f t="shared" ca="1" si="215"/>
        <v>121.41327305027473</v>
      </c>
      <c r="I490" s="304">
        <f t="shared" ca="1" si="216"/>
        <v>125.15092251037584</v>
      </c>
      <c r="J490" s="306">
        <f t="shared" ca="1" si="217"/>
        <v>534.24711534199412</v>
      </c>
      <c r="K490" s="307">
        <f t="shared" ca="1" si="218"/>
        <v>3192.9917796694922</v>
      </c>
      <c r="L490" s="304">
        <f t="shared" ca="1" si="203"/>
        <v>3237.3780263182412</v>
      </c>
      <c r="M490" s="306">
        <f t="shared" ca="1" si="219"/>
        <v>1.3257861764442582</v>
      </c>
      <c r="N490" s="304">
        <f t="shared" ca="1" si="220"/>
        <v>75.961952447042677</v>
      </c>
      <c r="P490" s="310">
        <f t="shared" ca="1" si="221"/>
        <v>23</v>
      </c>
      <c r="Q490" s="304">
        <f t="shared" ca="1" si="222"/>
        <v>0</v>
      </c>
      <c r="R490" s="306">
        <f t="shared" ca="1" si="223"/>
        <v>0</v>
      </c>
      <c r="S490" s="307">
        <f t="shared" ca="1" si="224"/>
        <v>5.6519999999999806</v>
      </c>
      <c r="T490" s="304">
        <f t="shared" ca="1" si="204"/>
        <v>55.446119999999816</v>
      </c>
      <c r="U490" s="311">
        <f t="shared" ca="1" si="205"/>
        <v>0</v>
      </c>
      <c r="V490" s="306">
        <f t="shared" ca="1" si="206"/>
        <v>0.88770716885056666</v>
      </c>
      <c r="W490" s="304">
        <f t="shared" ca="1" si="207"/>
        <v>23.017168736735844</v>
      </c>
      <c r="Y490" s="314" t="str">
        <f t="shared" ca="1" si="225"/>
        <v/>
      </c>
      <c r="Z490" s="315" t="str">
        <f t="shared" ca="1" si="226"/>
        <v/>
      </c>
      <c r="AA490" s="316" t="str">
        <f t="shared" ca="1" si="227"/>
        <v/>
      </c>
      <c r="AC490" s="310" t="e">
        <f t="shared" ca="1" si="228"/>
        <v>#N/A</v>
      </c>
      <c r="AD490" s="323" t="e">
        <f t="shared" ca="1" si="229"/>
        <v>#N/A</v>
      </c>
      <c r="AE490" s="324">
        <f t="shared" ca="1" si="208"/>
        <v>3192.9917796694922</v>
      </c>
      <c r="AG490" s="306">
        <f t="shared" ca="1" si="230"/>
        <v>-13.68866561093729</v>
      </c>
      <c r="AH490" s="304">
        <f t="shared" ca="1" si="231"/>
        <v>-4.1671692684777053</v>
      </c>
    </row>
    <row r="491" spans="1:34" x14ac:dyDescent="0.2">
      <c r="A491" s="347">
        <f t="shared" ca="1" si="209"/>
        <v>0.1</v>
      </c>
      <c r="B491" s="304">
        <f t="shared" ca="1" si="210"/>
        <v>16.699999999999896</v>
      </c>
      <c r="D491" s="306">
        <f t="shared" ca="1" si="211"/>
        <v>-0.98782493117133929</v>
      </c>
      <c r="E491" s="307">
        <f t="shared" ca="1" si="212"/>
        <v>-13.760771025575073</v>
      </c>
      <c r="F491" s="304">
        <f t="shared" ca="1" si="213"/>
        <v>13.796181258339212</v>
      </c>
      <c r="G491" s="306">
        <f t="shared" ca="1" si="214"/>
        <v>30.258597703756447</v>
      </c>
      <c r="H491" s="307">
        <f t="shared" ca="1" si="215"/>
        <v>120.03719594771722</v>
      </c>
      <c r="I491" s="304">
        <f t="shared" ca="1" si="216"/>
        <v>123.79220955289729</v>
      </c>
      <c r="J491" s="306">
        <f t="shared" ca="1" si="217"/>
        <v>537.27791423702558</v>
      </c>
      <c r="K491" s="307">
        <f t="shared" ca="1" si="218"/>
        <v>3205.0643031193918</v>
      </c>
      <c r="L491" s="304">
        <f t="shared" ca="1" si="203"/>
        <v>3249.785338181136</v>
      </c>
      <c r="M491" s="306">
        <f t="shared" ca="1" si="219"/>
        <v>1.3238639427096572</v>
      </c>
      <c r="N491" s="304">
        <f t="shared" ca="1" si="220"/>
        <v>75.851816566812374</v>
      </c>
      <c r="P491" s="310">
        <f t="shared" ca="1" si="221"/>
        <v>23</v>
      </c>
      <c r="Q491" s="304">
        <f t="shared" ca="1" si="222"/>
        <v>0</v>
      </c>
      <c r="R491" s="306">
        <f t="shared" ca="1" si="223"/>
        <v>0</v>
      </c>
      <c r="S491" s="307">
        <f t="shared" ca="1" si="224"/>
        <v>5.6519999999999806</v>
      </c>
      <c r="T491" s="304">
        <f t="shared" ca="1" si="204"/>
        <v>55.446119999999816</v>
      </c>
      <c r="U491" s="311">
        <f t="shared" ca="1" si="205"/>
        <v>0</v>
      </c>
      <c r="V491" s="306">
        <f t="shared" ca="1" si="206"/>
        <v>0.88660802486606649</v>
      </c>
      <c r="W491" s="304">
        <f t="shared" ca="1" si="207"/>
        <v>22.492221470750255</v>
      </c>
      <c r="Y491" s="314" t="str">
        <f t="shared" ca="1" si="225"/>
        <v/>
      </c>
      <c r="Z491" s="315" t="str">
        <f t="shared" ca="1" si="226"/>
        <v/>
      </c>
      <c r="AA491" s="316" t="str">
        <f t="shared" ca="1" si="227"/>
        <v/>
      </c>
      <c r="AC491" s="310" t="e">
        <f t="shared" ca="1" si="228"/>
        <v>#N/A</v>
      </c>
      <c r="AD491" s="323" t="e">
        <f t="shared" ca="1" si="229"/>
        <v>#N/A</v>
      </c>
      <c r="AE491" s="324">
        <f t="shared" ca="1" si="208"/>
        <v>3205.0643031193918</v>
      </c>
      <c r="AG491" s="306">
        <f t="shared" ca="1" si="230"/>
        <v>-13.589416624339886</v>
      </c>
      <c r="AH491" s="304">
        <f t="shared" ca="1" si="231"/>
        <v>-4.072393619380029</v>
      </c>
    </row>
    <row r="492" spans="1:34" x14ac:dyDescent="0.2">
      <c r="A492" s="347">
        <f t="shared" ca="1" si="209"/>
        <v>0.1</v>
      </c>
      <c r="B492" s="304">
        <f t="shared" ca="1" si="210"/>
        <v>16.799999999999898</v>
      </c>
      <c r="D492" s="306">
        <f t="shared" ca="1" si="211"/>
        <v>-0.97271515131035258</v>
      </c>
      <c r="E492" s="307">
        <f t="shared" ca="1" si="212"/>
        <v>-13.668804045127935</v>
      </c>
      <c r="F492" s="304">
        <f t="shared" ca="1" si="213"/>
        <v>13.70337107392537</v>
      </c>
      <c r="G492" s="306">
        <f t="shared" ca="1" si="214"/>
        <v>30.161326188625413</v>
      </c>
      <c r="H492" s="307">
        <f t="shared" ca="1" si="215"/>
        <v>118.67031554320442</v>
      </c>
      <c r="I492" s="304">
        <f t="shared" ca="1" si="216"/>
        <v>122.44324966522396</v>
      </c>
      <c r="J492" s="306">
        <f t="shared" ca="1" si="217"/>
        <v>540.29891043164469</v>
      </c>
      <c r="K492" s="307">
        <f t="shared" ca="1" si="218"/>
        <v>3216.9996786939378</v>
      </c>
      <c r="L492" s="304">
        <f t="shared" ca="1" si="203"/>
        <v>3262.0560763620419</v>
      </c>
      <c r="M492" s="306">
        <f t="shared" ca="1" si="219"/>
        <v>1.3219055944774538</v>
      </c>
      <c r="N492" s="304">
        <f t="shared" ca="1" si="220"/>
        <v>75.7396114782902</v>
      </c>
      <c r="P492" s="310">
        <f t="shared" ca="1" si="221"/>
        <v>23</v>
      </c>
      <c r="Q492" s="304">
        <f t="shared" ca="1" si="222"/>
        <v>0</v>
      </c>
      <c r="R492" s="306">
        <f t="shared" ca="1" si="223"/>
        <v>0</v>
      </c>
      <c r="S492" s="307">
        <f t="shared" ca="1" si="224"/>
        <v>5.6519999999999806</v>
      </c>
      <c r="T492" s="304">
        <f t="shared" ca="1" si="204"/>
        <v>55.446119999999816</v>
      </c>
      <c r="U492" s="311">
        <f t="shared" ca="1" si="205"/>
        <v>0</v>
      </c>
      <c r="V492" s="306">
        <f t="shared" ca="1" si="206"/>
        <v>0.885522491197126</v>
      </c>
      <c r="W492" s="304">
        <f t="shared" ca="1" si="207"/>
        <v>21.977756371165761</v>
      </c>
      <c r="Y492" s="314" t="str">
        <f t="shared" ca="1" si="225"/>
        <v/>
      </c>
      <c r="Z492" s="315" t="str">
        <f t="shared" ca="1" si="226"/>
        <v/>
      </c>
      <c r="AA492" s="316" t="str">
        <f t="shared" ca="1" si="227"/>
        <v/>
      </c>
      <c r="AC492" s="310" t="e">
        <f t="shared" ca="1" si="228"/>
        <v>#N/A</v>
      </c>
      <c r="AD492" s="323" t="e">
        <f t="shared" ca="1" si="229"/>
        <v>#N/A</v>
      </c>
      <c r="AE492" s="324">
        <f t="shared" ca="1" si="208"/>
        <v>3216.9996786939378</v>
      </c>
      <c r="AG492" s="306">
        <f t="shared" ca="1" si="230"/>
        <v>-13.491946803535589</v>
      </c>
      <c r="AH492" s="304">
        <f t="shared" ca="1" si="231"/>
        <v>-3.9795154760704765</v>
      </c>
    </row>
    <row r="493" spans="1:34" x14ac:dyDescent="0.2">
      <c r="A493" s="347">
        <f t="shared" ca="1" si="209"/>
        <v>0.1</v>
      </c>
      <c r="B493" s="304">
        <f t="shared" ca="1" si="210"/>
        <v>16.899999999999899</v>
      </c>
      <c r="D493" s="306">
        <f t="shared" ca="1" si="211"/>
        <v>-0.95784842130111181</v>
      </c>
      <c r="E493" s="307">
        <f t="shared" ca="1" si="212"/>
        <v>-13.578672958459972</v>
      </c>
      <c r="F493" s="304">
        <f t="shared" ca="1" si="213"/>
        <v>13.612414661293606</v>
      </c>
      <c r="G493" s="306">
        <f t="shared" ca="1" si="214"/>
        <v>30.065541346495301</v>
      </c>
      <c r="H493" s="307">
        <f t="shared" ca="1" si="215"/>
        <v>117.31244824735843</v>
      </c>
      <c r="I493" s="304">
        <f t="shared" ca="1" si="216"/>
        <v>121.10386984009622</v>
      </c>
      <c r="J493" s="306">
        <f t="shared" ca="1" si="217"/>
        <v>543.31025380840072</v>
      </c>
      <c r="K493" s="307">
        <f t="shared" ca="1" si="218"/>
        <v>3228.7988168834659</v>
      </c>
      <c r="L493" s="304">
        <f t="shared" ca="1" si="203"/>
        <v>3274.1911721525084</v>
      </c>
      <c r="M493" s="306">
        <f t="shared" ca="1" si="219"/>
        <v>1.3199102087540622</v>
      </c>
      <c r="N493" s="304">
        <f t="shared" ca="1" si="220"/>
        <v>75.625284297839201</v>
      </c>
      <c r="P493" s="310">
        <f t="shared" ca="1" si="221"/>
        <v>23</v>
      </c>
      <c r="Q493" s="304">
        <f t="shared" ca="1" si="222"/>
        <v>0</v>
      </c>
      <c r="R493" s="306">
        <f t="shared" ca="1" si="223"/>
        <v>0</v>
      </c>
      <c r="S493" s="307">
        <f t="shared" ca="1" si="224"/>
        <v>5.6519999999999806</v>
      </c>
      <c r="T493" s="304">
        <f t="shared" ca="1" si="204"/>
        <v>55.446119999999816</v>
      </c>
      <c r="U493" s="311">
        <f t="shared" ca="1" si="205"/>
        <v>0</v>
      </c>
      <c r="V493" s="306">
        <f t="shared" ca="1" si="206"/>
        <v>0.88445044495306246</v>
      </c>
      <c r="W493" s="304">
        <f t="shared" ca="1" si="207"/>
        <v>21.473538289019181</v>
      </c>
      <c r="Y493" s="314" t="str">
        <f t="shared" ca="1" si="225"/>
        <v/>
      </c>
      <c r="Z493" s="315" t="str">
        <f t="shared" ca="1" si="226"/>
        <v/>
      </c>
      <c r="AA493" s="316" t="str">
        <f t="shared" ca="1" si="227"/>
        <v/>
      </c>
      <c r="AC493" s="310" t="e">
        <f t="shared" ca="1" si="228"/>
        <v>#N/A</v>
      </c>
      <c r="AD493" s="323" t="e">
        <f t="shared" ca="1" si="229"/>
        <v>#N/A</v>
      </c>
      <c r="AE493" s="324">
        <f t="shared" ca="1" si="208"/>
        <v>3228.7988168834659</v>
      </c>
      <c r="AG493" s="306">
        <f t="shared" ca="1" si="230"/>
        <v>-13.396209164631571</v>
      </c>
      <c r="AH493" s="304">
        <f t="shared" ca="1" si="231"/>
        <v>-3.8884919269578622</v>
      </c>
    </row>
    <row r="494" spans="1:34" x14ac:dyDescent="0.2">
      <c r="A494" s="347">
        <f t="shared" ca="1" si="209"/>
        <v>0.1</v>
      </c>
      <c r="B494" s="304">
        <f t="shared" ca="1" si="210"/>
        <v>16.999999999999901</v>
      </c>
      <c r="D494" s="306">
        <f t="shared" ca="1" si="211"/>
        <v>-0.94321883513616833</v>
      </c>
      <c r="E494" s="307">
        <f t="shared" ca="1" si="212"/>
        <v>-13.490336552321683</v>
      </c>
      <c r="F494" s="304">
        <f t="shared" ca="1" si="213"/>
        <v>13.523270390917357</v>
      </c>
      <c r="G494" s="306">
        <f t="shared" ca="1" si="214"/>
        <v>29.971219462981683</v>
      </c>
      <c r="H494" s="307">
        <f t="shared" ca="1" si="215"/>
        <v>115.96341459212627</v>
      </c>
      <c r="I494" s="304">
        <f t="shared" ca="1" si="216"/>
        <v>119.77390166460962</v>
      </c>
      <c r="J494" s="306">
        <f t="shared" ca="1" si="217"/>
        <v>546.31209184887462</v>
      </c>
      <c r="K494" s="307">
        <f t="shared" ca="1" si="218"/>
        <v>3240.46261002544</v>
      </c>
      <c r="L494" s="304">
        <f t="shared" ca="1" si="203"/>
        <v>3286.1915386467022</v>
      </c>
      <c r="M494" s="306">
        <f t="shared" ca="1" si="219"/>
        <v>1.3178768307726474</v>
      </c>
      <c r="N494" s="304">
        <f t="shared" ca="1" si="220"/>
        <v>75.508780321349306</v>
      </c>
      <c r="P494" s="310">
        <f t="shared" ca="1" si="221"/>
        <v>23</v>
      </c>
      <c r="Q494" s="304">
        <f t="shared" ca="1" si="222"/>
        <v>0</v>
      </c>
      <c r="R494" s="306">
        <f t="shared" ca="1" si="223"/>
        <v>0</v>
      </c>
      <c r="S494" s="307">
        <f t="shared" ca="1" si="224"/>
        <v>5.6519999999999806</v>
      </c>
      <c r="T494" s="304">
        <f t="shared" ca="1" si="204"/>
        <v>55.446119999999816</v>
      </c>
      <c r="U494" s="311">
        <f t="shared" ca="1" si="205"/>
        <v>0</v>
      </c>
      <c r="V494" s="306">
        <f t="shared" ca="1" si="206"/>
        <v>0.88339176578449219</v>
      </c>
      <c r="W494" s="304">
        <f t="shared" ca="1" si="207"/>
        <v>20.97933920078092</v>
      </c>
      <c r="Y494" s="314" t="str">
        <f t="shared" ca="1" si="225"/>
        <v/>
      </c>
      <c r="Z494" s="315" t="str">
        <f t="shared" ca="1" si="226"/>
        <v/>
      </c>
      <c r="AA494" s="316" t="str">
        <f t="shared" ca="1" si="227"/>
        <v/>
      </c>
      <c r="AC494" s="310">
        <f t="shared" ca="1" si="228"/>
        <v>16.999999999999901</v>
      </c>
      <c r="AD494" s="323">
        <f t="shared" ca="1" si="229"/>
        <v>546.31209184887462</v>
      </c>
      <c r="AE494" s="324">
        <f t="shared" ca="1" si="208"/>
        <v>3240.46261002544</v>
      </c>
      <c r="AG494" s="306">
        <f t="shared" ca="1" si="230"/>
        <v>-13.302157855461845</v>
      </c>
      <c r="AH494" s="304">
        <f t="shared" ca="1" si="231"/>
        <v>-3.7992813674839447</v>
      </c>
    </row>
    <row r="495" spans="1:34" x14ac:dyDescent="0.2">
      <c r="A495" s="347">
        <f t="shared" ca="1" si="209"/>
        <v>0.1</v>
      </c>
      <c r="B495" s="304">
        <f t="shared" ca="1" si="210"/>
        <v>17.099999999999902</v>
      </c>
      <c r="D495" s="306">
        <f t="shared" ca="1" si="211"/>
        <v>-0.92882066309467792</v>
      </c>
      <c r="E495" s="307">
        <f t="shared" ca="1" si="212"/>
        <v>-13.40375486103315</v>
      </c>
      <c r="F495" s="304">
        <f t="shared" ca="1" si="213"/>
        <v>13.435897893288018</v>
      </c>
      <c r="G495" s="306">
        <f t="shared" ca="1" si="214"/>
        <v>29.878337396672215</v>
      </c>
      <c r="H495" s="307">
        <f t="shared" ca="1" si="215"/>
        <v>114.62303910602296</v>
      </c>
      <c r="I495" s="304">
        <f t="shared" ca="1" si="216"/>
        <v>118.45318121304403</v>
      </c>
      <c r="J495" s="306">
        <f t="shared" ca="1" si="217"/>
        <v>549.3045696918573</v>
      </c>
      <c r="K495" s="307">
        <f t="shared" ca="1" si="218"/>
        <v>3251.9919327103476</v>
      </c>
      <c r="L495" s="304">
        <f t="shared" ca="1" si="203"/>
        <v>3298.0580711530142</v>
      </c>
      <c r="M495" s="306">
        <f t="shared" ca="1" si="219"/>
        <v>1.3158044726567817</v>
      </c>
      <c r="N495" s="304">
        <f t="shared" ca="1" si="220"/>
        <v>75.390042947670523</v>
      </c>
      <c r="P495" s="310">
        <f t="shared" ca="1" si="221"/>
        <v>23</v>
      </c>
      <c r="Q495" s="304">
        <f t="shared" ca="1" si="222"/>
        <v>0</v>
      </c>
      <c r="R495" s="306">
        <f t="shared" ca="1" si="223"/>
        <v>0</v>
      </c>
      <c r="S495" s="307">
        <f t="shared" ca="1" si="224"/>
        <v>5.6519999999999806</v>
      </c>
      <c r="T495" s="304">
        <f t="shared" ca="1" si="204"/>
        <v>55.446119999999816</v>
      </c>
      <c r="U495" s="311">
        <f t="shared" ca="1" si="205"/>
        <v>0</v>
      </c>
      <c r="V495" s="306">
        <f t="shared" ca="1" si="206"/>
        <v>0.88234633582372646</v>
      </c>
      <c r="W495" s="304">
        <f t="shared" ca="1" si="207"/>
        <v>20.494937957404897</v>
      </c>
      <c r="Y495" s="314" t="str">
        <f t="shared" ca="1" si="225"/>
        <v/>
      </c>
      <c r="Z495" s="315" t="str">
        <f t="shared" ca="1" si="226"/>
        <v/>
      </c>
      <c r="AA495" s="316" t="str">
        <f t="shared" ca="1" si="227"/>
        <v/>
      </c>
      <c r="AC495" s="310" t="e">
        <f t="shared" ca="1" si="228"/>
        <v>#N/A</v>
      </c>
      <c r="AD495" s="323" t="e">
        <f t="shared" ca="1" si="229"/>
        <v>#N/A</v>
      </c>
      <c r="AE495" s="324">
        <f t="shared" ca="1" si="208"/>
        <v>3251.9919327103476</v>
      </c>
      <c r="AG495" s="306">
        <f t="shared" ca="1" si="230"/>
        <v>-13.209748100274801</v>
      </c>
      <c r="AH495" s="304">
        <f t="shared" ca="1" si="231"/>
        <v>-3.7118434537829073</v>
      </c>
    </row>
    <row r="496" spans="1:34" x14ac:dyDescent="0.2">
      <c r="A496" s="347">
        <f t="shared" ca="1" si="209"/>
        <v>0.1</v>
      </c>
      <c r="B496" s="304">
        <f t="shared" ca="1" si="210"/>
        <v>17.199999999999903</v>
      </c>
      <c r="D496" s="306">
        <f t="shared" ca="1" si="211"/>
        <v>-0.91464834562538766</v>
      </c>
      <c r="E496" s="307">
        <f t="shared" ca="1" si="212"/>
        <v>-13.318889122476904</v>
      </c>
      <c r="F496" s="304">
        <f t="shared" ca="1" si="213"/>
        <v>13.350258014472562</v>
      </c>
      <c r="G496" s="306">
        <f t="shared" ca="1" si="214"/>
        <v>29.786872562109675</v>
      </c>
      <c r="H496" s="307">
        <f t="shared" ca="1" si="215"/>
        <v>113.29115019377527</v>
      </c>
      <c r="I496" s="304">
        <f t="shared" ca="1" si="216"/>
        <v>117.14154894511131</v>
      </c>
      <c r="J496" s="306">
        <f t="shared" ca="1" si="217"/>
        <v>552.28783018979641</v>
      </c>
      <c r="K496" s="307">
        <f t="shared" ca="1" si="218"/>
        <v>3263.3876421753375</v>
      </c>
      <c r="L496" s="304">
        <f t="shared" ca="1" si="203"/>
        <v>3309.7916475933139</v>
      </c>
      <c r="M496" s="306">
        <f t="shared" ca="1" si="219"/>
        <v>1.3136921120176668</v>
      </c>
      <c r="N496" s="304">
        <f t="shared" ca="1" si="220"/>
        <v>75.269013598239681</v>
      </c>
      <c r="P496" s="310">
        <f t="shared" ca="1" si="221"/>
        <v>23</v>
      </c>
      <c r="Q496" s="304">
        <f t="shared" ca="1" si="222"/>
        <v>0</v>
      </c>
      <c r="R496" s="306">
        <f t="shared" ca="1" si="223"/>
        <v>0</v>
      </c>
      <c r="S496" s="307">
        <f t="shared" ca="1" si="224"/>
        <v>5.6519999999999806</v>
      </c>
      <c r="T496" s="304">
        <f t="shared" ca="1" si="204"/>
        <v>55.446119999999816</v>
      </c>
      <c r="U496" s="311">
        <f t="shared" ca="1" si="205"/>
        <v>0</v>
      </c>
      <c r="V496" s="306">
        <f t="shared" ca="1" si="206"/>
        <v>0.88131403962703592</v>
      </c>
      <c r="W496" s="304">
        <f t="shared" ca="1" si="207"/>
        <v>20.020120043824715</v>
      </c>
      <c r="Y496" s="314" t="str">
        <f t="shared" ca="1" si="225"/>
        <v/>
      </c>
      <c r="Z496" s="315" t="str">
        <f t="shared" ca="1" si="226"/>
        <v/>
      </c>
      <c r="AA496" s="316" t="str">
        <f t="shared" ca="1" si="227"/>
        <v/>
      </c>
      <c r="AC496" s="310" t="e">
        <f t="shared" ca="1" si="228"/>
        <v>#N/A</v>
      </c>
      <c r="AD496" s="323" t="e">
        <f t="shared" ca="1" si="229"/>
        <v>#N/A</v>
      </c>
      <c r="AE496" s="324">
        <f t="shared" ca="1" si="208"/>
        <v>3263.3876421753375</v>
      </c>
      <c r="AG496" s="306">
        <f t="shared" ca="1" si="230"/>
        <v>-13.118936145830023</v>
      </c>
      <c r="AH496" s="304">
        <f t="shared" ca="1" si="231"/>
        <v>-3.6261390582811335</v>
      </c>
    </row>
    <row r="497" spans="1:34" x14ac:dyDescent="0.2">
      <c r="A497" s="347">
        <f t="shared" ca="1" si="209"/>
        <v>0.1</v>
      </c>
      <c r="B497" s="304">
        <f t="shared" ca="1" si="210"/>
        <v>17.299999999999905</v>
      </c>
      <c r="D497" s="306">
        <f t="shared" ca="1" si="211"/>
        <v>-0.90069648749317199</v>
      </c>
      <c r="E497" s="307">
        <f t="shared" ca="1" si="212"/>
        <v>-13.235701735918251</v>
      </c>
      <c r="F497" s="304">
        <f t="shared" ca="1" si="213"/>
        <v>13.266312773516685</v>
      </c>
      <c r="G497" s="306">
        <f t="shared" ca="1" si="214"/>
        <v>29.696802913360358</v>
      </c>
      <c r="H497" s="307">
        <f t="shared" ca="1" si="215"/>
        <v>111.96758002018345</v>
      </c>
      <c r="I497" s="304">
        <f t="shared" ca="1" si="216"/>
        <v>115.83884960949479</v>
      </c>
      <c r="J497" s="306">
        <f t="shared" ca="1" si="217"/>
        <v>555.26201396356987</v>
      </c>
      <c r="K497" s="307">
        <f t="shared" ca="1" si="218"/>
        <v>3274.6505786860353</v>
      </c>
      <c r="L497" s="304">
        <f t="shared" ca="1" si="203"/>
        <v>3321.3931288902954</v>
      </c>
      <c r="M497" s="306">
        <f t="shared" ca="1" si="219"/>
        <v>1.311538690481165</v>
      </c>
      <c r="N497" s="304">
        <f t="shared" ca="1" si="220"/>
        <v>75.14563163268555</v>
      </c>
      <c r="P497" s="310">
        <f t="shared" ca="1" si="221"/>
        <v>23</v>
      </c>
      <c r="Q497" s="304">
        <f t="shared" ca="1" si="222"/>
        <v>0</v>
      </c>
      <c r="R497" s="306">
        <f t="shared" ca="1" si="223"/>
        <v>0</v>
      </c>
      <c r="S497" s="307">
        <f t="shared" ca="1" si="224"/>
        <v>5.6519999999999806</v>
      </c>
      <c r="T497" s="304">
        <f t="shared" ca="1" si="204"/>
        <v>55.446119999999816</v>
      </c>
      <c r="U497" s="311">
        <f t="shared" ca="1" si="205"/>
        <v>0</v>
      </c>
      <c r="V497" s="306">
        <f t="shared" ca="1" si="206"/>
        <v>0.88029476411870078</v>
      </c>
      <c r="W497" s="304">
        <f t="shared" ca="1" si="207"/>
        <v>19.554677348402791</v>
      </c>
      <c r="Y497" s="314" t="str">
        <f t="shared" ca="1" si="225"/>
        <v/>
      </c>
      <c r="Z497" s="315" t="str">
        <f t="shared" ca="1" si="226"/>
        <v/>
      </c>
      <c r="AA497" s="316" t="str">
        <f t="shared" ca="1" si="227"/>
        <v/>
      </c>
      <c r="AC497" s="310" t="e">
        <f t="shared" ca="1" si="228"/>
        <v>#N/A</v>
      </c>
      <c r="AD497" s="323" t="e">
        <f t="shared" ca="1" si="229"/>
        <v>#N/A</v>
      </c>
      <c r="AE497" s="324">
        <f t="shared" ca="1" si="208"/>
        <v>3274.6505786860353</v>
      </c>
      <c r="AG497" s="306">
        <f t="shared" ca="1" si="230"/>
        <v>-13.029679208776791</v>
      </c>
      <c r="AH497" s="304">
        <f t="shared" ca="1" si="231"/>
        <v>-3.5421302271452202</v>
      </c>
    </row>
    <row r="498" spans="1:34" x14ac:dyDescent="0.2">
      <c r="A498" s="347">
        <f t="shared" ca="1" si="209"/>
        <v>0.1</v>
      </c>
      <c r="B498" s="304">
        <f t="shared" ca="1" si="210"/>
        <v>17.399999999999906</v>
      </c>
      <c r="D498" s="306">
        <f t="shared" ca="1" si="211"/>
        <v>-0.88695985217725848</v>
      </c>
      <c r="E498" s="307">
        <f t="shared" ca="1" si="212"/>
        <v>-13.15415622156647</v>
      </c>
      <c r="F498" s="304">
        <f t="shared" ca="1" si="213"/>
        <v>13.184025321606075</v>
      </c>
      <c r="G498" s="306">
        <f t="shared" ca="1" si="214"/>
        <v>29.608106928142632</v>
      </c>
      <c r="H498" s="307">
        <f t="shared" ca="1" si="215"/>
        <v>110.6521643980268</v>
      </c>
      <c r="I498" s="304">
        <f t="shared" ca="1" si="216"/>
        <v>114.54493215256744</v>
      </c>
      <c r="J498" s="306">
        <f t="shared" ca="1" si="217"/>
        <v>558.22725945564503</v>
      </c>
      <c r="K498" s="307">
        <f t="shared" ca="1" si="218"/>
        <v>3285.7815659069456</v>
      </c>
      <c r="L498" s="304">
        <f t="shared" ca="1" si="203"/>
        <v>3332.8633593433228</v>
      </c>
      <c r="M498" s="306">
        <f t="shared" ca="1" si="219"/>
        <v>1.3093431121406431</v>
      </c>
      <c r="N498" s="304">
        <f t="shared" ca="1" si="220"/>
        <v>75.019834260183316</v>
      </c>
      <c r="P498" s="310">
        <f t="shared" ca="1" si="221"/>
        <v>23</v>
      </c>
      <c r="Q498" s="304">
        <f t="shared" ca="1" si="222"/>
        <v>0</v>
      </c>
      <c r="R498" s="306">
        <f t="shared" ca="1" si="223"/>
        <v>0</v>
      </c>
      <c r="S498" s="307">
        <f t="shared" ca="1" si="224"/>
        <v>5.6519999999999806</v>
      </c>
      <c r="T498" s="304">
        <f t="shared" ca="1" si="204"/>
        <v>55.446119999999816</v>
      </c>
      <c r="U498" s="311">
        <f t="shared" ca="1" si="205"/>
        <v>0</v>
      </c>
      <c r="V498" s="306">
        <f t="shared" ca="1" si="206"/>
        <v>0.87928839853679719</v>
      </c>
      <c r="W498" s="304">
        <f t="shared" ca="1" si="207"/>
        <v>19.098407941866249</v>
      </c>
      <c r="Y498" s="314" t="str">
        <f t="shared" ca="1" si="225"/>
        <v/>
      </c>
      <c r="Z498" s="315" t="str">
        <f t="shared" ca="1" si="226"/>
        <v/>
      </c>
      <c r="AA498" s="316" t="str">
        <f t="shared" ca="1" si="227"/>
        <v/>
      </c>
      <c r="AC498" s="310" t="e">
        <f t="shared" ca="1" si="228"/>
        <v>#N/A</v>
      </c>
      <c r="AD498" s="323" t="e">
        <f t="shared" ca="1" si="229"/>
        <v>#N/A</v>
      </c>
      <c r="AE498" s="324">
        <f t="shared" ca="1" si="208"/>
        <v>3285.7815659069456</v>
      </c>
      <c r="AG498" s="306">
        <f t="shared" ca="1" si="230"/>
        <v>-12.94193542418888</v>
      </c>
      <c r="AH498" s="304">
        <f t="shared" ca="1" si="231"/>
        <v>-3.4597801394909515</v>
      </c>
    </row>
    <row r="499" spans="1:34" x14ac:dyDescent="0.2">
      <c r="A499" s="347">
        <f t="shared" ca="1" si="209"/>
        <v>0.1</v>
      </c>
      <c r="B499" s="304">
        <f t="shared" ca="1" si="210"/>
        <v>17.499999999999908</v>
      </c>
      <c r="D499" s="306">
        <f t="shared" ca="1" si="211"/>
        <v>-0.87343335651001575</v>
      </c>
      <c r="E499" s="307">
        <f t="shared" ca="1" si="212"/>
        <v>-13.074217181794996</v>
      </c>
      <c r="F499" s="304">
        <f t="shared" ca="1" si="213"/>
        <v>13.103359902903067</v>
      </c>
      <c r="G499" s="306">
        <f t="shared" ca="1" si="214"/>
        <v>29.52076359249163</v>
      </c>
      <c r="H499" s="307">
        <f t="shared" ca="1" si="215"/>
        <v>109.3447426798473</v>
      </c>
      <c r="I499" s="304">
        <f t="shared" ca="1" si="216"/>
        <v>113.25964963218718</v>
      </c>
      <c r="J499" s="306">
        <f t="shared" ca="1" si="217"/>
        <v>561.18370298167679</v>
      </c>
      <c r="K499" s="307">
        <f t="shared" ca="1" si="218"/>
        <v>3296.7814112608394</v>
      </c>
      <c r="L499" s="304">
        <f t="shared" ca="1" si="203"/>
        <v>3344.2031669931835</v>
      </c>
      <c r="M499" s="306">
        <f t="shared" ca="1" si="219"/>
        <v>1.3071042419313792</v>
      </c>
      <c r="N499" s="304">
        <f t="shared" ca="1" si="220"/>
        <v>74.891556446314922</v>
      </c>
      <c r="P499" s="310">
        <f t="shared" ca="1" si="221"/>
        <v>23</v>
      </c>
      <c r="Q499" s="304">
        <f t="shared" ca="1" si="222"/>
        <v>0</v>
      </c>
      <c r="R499" s="306">
        <f t="shared" ca="1" si="223"/>
        <v>0</v>
      </c>
      <c r="S499" s="307">
        <f t="shared" ca="1" si="224"/>
        <v>5.6519999999999806</v>
      </c>
      <c r="T499" s="304">
        <f t="shared" ca="1" si="204"/>
        <v>55.446119999999816</v>
      </c>
      <c r="U499" s="311">
        <f t="shared" ca="1" si="205"/>
        <v>0</v>
      </c>
      <c r="V499" s="306">
        <f t="shared" ca="1" si="206"/>
        <v>0.87829483438064704</v>
      </c>
      <c r="W499" s="304">
        <f t="shared" ca="1" si="207"/>
        <v>18.651115865287174</v>
      </c>
      <c r="Y499" s="314" t="str">
        <f t="shared" ca="1" si="225"/>
        <v/>
      </c>
      <c r="Z499" s="315" t="str">
        <f t="shared" ca="1" si="226"/>
        <v/>
      </c>
      <c r="AA499" s="316" t="str">
        <f t="shared" ca="1" si="227"/>
        <v/>
      </c>
      <c r="AC499" s="310" t="e">
        <f t="shared" ca="1" si="228"/>
        <v>#N/A</v>
      </c>
      <c r="AD499" s="323" t="e">
        <f t="shared" ca="1" si="229"/>
        <v>#N/A</v>
      </c>
      <c r="AE499" s="324">
        <f t="shared" ca="1" si="208"/>
        <v>3296.7814112608394</v>
      </c>
      <c r="AG499" s="306">
        <f t="shared" ca="1" si="230"/>
        <v>-12.855663795132255</v>
      </c>
      <c r="AH499" s="304">
        <f t="shared" ca="1" si="231"/>
        <v>-3.3790530682707565</v>
      </c>
    </row>
    <row r="500" spans="1:34" x14ac:dyDescent="0.2">
      <c r="A500" s="347">
        <f t="shared" ca="1" si="209"/>
        <v>0.1</v>
      </c>
      <c r="B500" s="304">
        <f t="shared" ca="1" si="210"/>
        <v>17.599999999999909</v>
      </c>
      <c r="D500" s="306">
        <f t="shared" ca="1" si="211"/>
        <v>-0.86011206554576924</v>
      </c>
      <c r="E500" s="307">
        <f t="shared" ca="1" si="212"/>
        <v>-12.995850263942856</v>
      </c>
      <c r="F500" s="304">
        <f t="shared" ca="1" si="213"/>
        <v>13.024281816980197</v>
      </c>
      <c r="G500" s="306">
        <f t="shared" ca="1" si="214"/>
        <v>29.434752385937053</v>
      </c>
      <c r="H500" s="307">
        <f t="shared" ca="1" si="215"/>
        <v>108.04515765345302</v>
      </c>
      <c r="I500" s="304">
        <f t="shared" ca="1" si="216"/>
        <v>111.982859136481</v>
      </c>
      <c r="J500" s="306">
        <f t="shared" ca="1" si="217"/>
        <v>564.13147878059817</v>
      </c>
      <c r="K500" s="307">
        <f t="shared" ca="1" si="218"/>
        <v>3307.6509062775044</v>
      </c>
      <c r="L500" s="304">
        <f t="shared" ca="1" si="203"/>
        <v>3355.4133639761258</v>
      </c>
      <c r="M500" s="306">
        <f t="shared" ca="1" si="219"/>
        <v>1.304820903922018</v>
      </c>
      <c r="N500" s="304">
        <f t="shared" ca="1" si="220"/>
        <v>74.760730815176714</v>
      </c>
      <c r="P500" s="310">
        <f t="shared" ca="1" si="221"/>
        <v>23</v>
      </c>
      <c r="Q500" s="304">
        <f t="shared" ca="1" si="222"/>
        <v>0</v>
      </c>
      <c r="R500" s="306">
        <f t="shared" ca="1" si="223"/>
        <v>0</v>
      </c>
      <c r="S500" s="307">
        <f t="shared" ca="1" si="224"/>
        <v>5.6519999999999806</v>
      </c>
      <c r="T500" s="304">
        <f t="shared" ca="1" si="204"/>
        <v>55.446119999999816</v>
      </c>
      <c r="U500" s="311">
        <f t="shared" ca="1" si="205"/>
        <v>0</v>
      </c>
      <c r="V500" s="306">
        <f t="shared" ca="1" si="206"/>
        <v>0.87731396535987749</v>
      </c>
      <c r="W500" s="304">
        <f t="shared" ca="1" si="207"/>
        <v>18.212610926688516</v>
      </c>
      <c r="Y500" s="314" t="str">
        <f t="shared" ca="1" si="225"/>
        <v/>
      </c>
      <c r="Z500" s="315" t="str">
        <f t="shared" ca="1" si="226"/>
        <v/>
      </c>
      <c r="AA500" s="316" t="str">
        <f t="shared" ca="1" si="227"/>
        <v/>
      </c>
      <c r="AC500" s="310" t="e">
        <f t="shared" ca="1" si="228"/>
        <v>#N/A</v>
      </c>
      <c r="AD500" s="323" t="e">
        <f t="shared" ca="1" si="229"/>
        <v>#N/A</v>
      </c>
      <c r="AE500" s="324">
        <f t="shared" ca="1" si="208"/>
        <v>3307.6509062775044</v>
      </c>
      <c r="AG500" s="306">
        <f t="shared" ca="1" si="230"/>
        <v>-12.770824143143267</v>
      </c>
      <c r="AH500" s="304">
        <f t="shared" ca="1" si="231"/>
        <v>-3.2999143427613657</v>
      </c>
    </row>
    <row r="501" spans="1:34" x14ac:dyDescent="0.2">
      <c r="A501" s="347">
        <f t="shared" ca="1" si="209"/>
        <v>0.1</v>
      </c>
      <c r="B501" s="304">
        <f t="shared" ca="1" si="210"/>
        <v>17.69999999999991</v>
      </c>
      <c r="D501" s="306">
        <f t="shared" ca="1" si="211"/>
        <v>-0.84699118764973225</v>
      </c>
      <c r="E501" s="307">
        <f t="shared" ca="1" si="212"/>
        <v>-12.919022124623776</v>
      </c>
      <c r="F501" s="304">
        <f t="shared" ca="1" si="213"/>
        <v>12.946757382776388</v>
      </c>
      <c r="G501" s="306">
        <f t="shared" ca="1" si="214"/>
        <v>29.350053267172079</v>
      </c>
      <c r="H501" s="307">
        <f t="shared" ca="1" si="215"/>
        <v>106.75325544099064</v>
      </c>
      <c r="I501" s="304">
        <f t="shared" ca="1" si="216"/>
        <v>110.71442170754105</v>
      </c>
      <c r="J501" s="306">
        <f t="shared" ca="1" si="217"/>
        <v>567.07071906325359</v>
      </c>
      <c r="K501" s="307">
        <f t="shared" ca="1" si="218"/>
        <v>3318.3908269322264</v>
      </c>
      <c r="L501" s="304">
        <f t="shared" ca="1" si="203"/>
        <v>3366.4947468675578</v>
      </c>
      <c r="M501" s="306">
        <f t="shared" ca="1" si="219"/>
        <v>1.3024918795182721</v>
      </c>
      <c r="N501" s="304">
        <f t="shared" ca="1" si="220"/>
        <v>74.627287546459101</v>
      </c>
      <c r="P501" s="310">
        <f t="shared" ca="1" si="221"/>
        <v>23</v>
      </c>
      <c r="Q501" s="304">
        <f t="shared" ca="1" si="222"/>
        <v>0</v>
      </c>
      <c r="R501" s="306">
        <f t="shared" ca="1" si="223"/>
        <v>0</v>
      </c>
      <c r="S501" s="307">
        <f t="shared" ca="1" si="224"/>
        <v>5.6519999999999806</v>
      </c>
      <c r="T501" s="304">
        <f t="shared" ca="1" si="204"/>
        <v>55.446119999999816</v>
      </c>
      <c r="U501" s="311">
        <f t="shared" ca="1" si="205"/>
        <v>0</v>
      </c>
      <c r="V501" s="306">
        <f t="shared" ca="1" si="206"/>
        <v>0.87634568734503249</v>
      </c>
      <c r="W501" s="304">
        <f t="shared" ca="1" si="207"/>
        <v>17.782708505878428</v>
      </c>
      <c r="Y501" s="314" t="str">
        <f t="shared" ca="1" si="225"/>
        <v/>
      </c>
      <c r="Z501" s="315" t="str">
        <f t="shared" ca="1" si="226"/>
        <v/>
      </c>
      <c r="AA501" s="316" t="str">
        <f t="shared" ca="1" si="227"/>
        <v/>
      </c>
      <c r="AC501" s="310" t="e">
        <f t="shared" ca="1" si="228"/>
        <v>#N/A</v>
      </c>
      <c r="AD501" s="323" t="e">
        <f t="shared" ca="1" si="229"/>
        <v>#N/A</v>
      </c>
      <c r="AE501" s="324">
        <f t="shared" ca="1" si="208"/>
        <v>3318.3908269322264</v>
      </c>
      <c r="AG501" s="306">
        <f t="shared" ca="1" si="230"/>
        <v>-12.687377059496027</v>
      </c>
      <c r="AH501" s="304">
        <f t="shared" ca="1" si="231"/>
        <v>-3.2223303125775971</v>
      </c>
    </row>
    <row r="502" spans="1:34" x14ac:dyDescent="0.2">
      <c r="A502" s="347">
        <f t="shared" ca="1" si="209"/>
        <v>0.1</v>
      </c>
      <c r="B502" s="304">
        <f t="shared" ca="1" si="210"/>
        <v>17.799999999999912</v>
      </c>
      <c r="D502" s="306">
        <f t="shared" ca="1" si="211"/>
        <v>-0.83406606979769038</v>
      </c>
      <c r="E502" s="307">
        <f t="shared" ca="1" si="212"/>
        <v>-12.843700395473082</v>
      </c>
      <c r="F502" s="304">
        <f t="shared" ca="1" si="213"/>
        <v>12.870753904005126</v>
      </c>
      <c r="G502" s="306">
        <f t="shared" ca="1" si="214"/>
        <v>29.266646660192311</v>
      </c>
      <c r="H502" s="307">
        <f t="shared" ca="1" si="215"/>
        <v>105.46888540144333</v>
      </c>
      <c r="I502" s="304">
        <f t="shared" ca="1" si="216"/>
        <v>109.4542022699692</v>
      </c>
      <c r="J502" s="306">
        <f t="shared" ca="1" si="217"/>
        <v>570.00155405962187</v>
      </c>
      <c r="K502" s="307">
        <f t="shared" ca="1" si="218"/>
        <v>3329.001933974348</v>
      </c>
      <c r="L502" s="304">
        <f t="shared" ca="1" si="203"/>
        <v>3377.4480970157533</v>
      </c>
      <c r="M502" s="306">
        <f t="shared" ca="1" si="219"/>
        <v>1.3001159055737577</v>
      </c>
      <c r="N502" s="304">
        <f t="shared" ca="1" si="220"/>
        <v>74.491154267205374</v>
      </c>
      <c r="P502" s="310">
        <f t="shared" ca="1" si="221"/>
        <v>23</v>
      </c>
      <c r="Q502" s="304">
        <f t="shared" ca="1" si="222"/>
        <v>0</v>
      </c>
      <c r="R502" s="306">
        <f t="shared" ca="1" si="223"/>
        <v>0</v>
      </c>
      <c r="S502" s="307">
        <f t="shared" ca="1" si="224"/>
        <v>5.6519999999999806</v>
      </c>
      <c r="T502" s="304">
        <f t="shared" ca="1" si="204"/>
        <v>55.446119999999816</v>
      </c>
      <c r="U502" s="311">
        <f t="shared" ca="1" si="205"/>
        <v>0</v>
      </c>
      <c r="V502" s="306">
        <f t="shared" ca="1" si="206"/>
        <v>0.87538989831968006</v>
      </c>
      <c r="W502" s="304">
        <f t="shared" ca="1" si="207"/>
        <v>17.36122936713668</v>
      </c>
      <c r="Y502" s="314" t="str">
        <f t="shared" ca="1" si="225"/>
        <v/>
      </c>
      <c r="Z502" s="315" t="str">
        <f t="shared" ca="1" si="226"/>
        <v/>
      </c>
      <c r="AA502" s="316" t="str">
        <f t="shared" ca="1" si="227"/>
        <v/>
      </c>
      <c r="AC502" s="310" t="e">
        <f t="shared" ca="1" si="228"/>
        <v>#N/A</v>
      </c>
      <c r="AD502" s="323" t="e">
        <f t="shared" ca="1" si="229"/>
        <v>#N/A</v>
      </c>
      <c r="AE502" s="324">
        <f t="shared" ca="1" si="208"/>
        <v>3329.001933974348</v>
      </c>
      <c r="AG502" s="306">
        <f t="shared" ca="1" si="230"/>
        <v>-12.605283857137616</v>
      </c>
      <c r="AH502" s="304">
        <f t="shared" ca="1" si="231"/>
        <v>-3.1462683131419831</v>
      </c>
    </row>
    <row r="503" spans="1:34" x14ac:dyDescent="0.2">
      <c r="A503" s="347">
        <f t="shared" ca="1" si="209"/>
        <v>0.1</v>
      </c>
      <c r="B503" s="304">
        <f t="shared" ca="1" si="210"/>
        <v>17.899999999999913</v>
      </c>
      <c r="D503" s="306">
        <f t="shared" ca="1" si="211"/>
        <v>-0.82133219307764316</v>
      </c>
      <c r="E503" s="307">
        <f t="shared" ca="1" si="212"/>
        <v>-12.769853650266226</v>
      </c>
      <c r="F503" s="304">
        <f t="shared" ca="1" si="213"/>
        <v>12.796239635947876</v>
      </c>
      <c r="G503" s="306">
        <f t="shared" ca="1" si="214"/>
        <v>29.184513440884547</v>
      </c>
      <c r="H503" s="307">
        <f t="shared" ca="1" si="215"/>
        <v>104.19190003641671</v>
      </c>
      <c r="I503" s="304">
        <f t="shared" ca="1" si="216"/>
        <v>108.20206956421778</v>
      </c>
      <c r="J503" s="306">
        <f t="shared" ca="1" si="217"/>
        <v>572.92411206467568</v>
      </c>
      <c r="K503" s="307">
        <f t="shared" ca="1" si="218"/>
        <v>3339.4849732462412</v>
      </c>
      <c r="L503" s="304">
        <f t="shared" ca="1" si="203"/>
        <v>3388.2741808659089</v>
      </c>
      <c r="M503" s="306">
        <f t="shared" ca="1" si="219"/>
        <v>1.2976916724025298</v>
      </c>
      <c r="N503" s="304">
        <f t="shared" ca="1" si="220"/>
        <v>74.352255937938409</v>
      </c>
      <c r="P503" s="310">
        <f t="shared" ca="1" si="221"/>
        <v>23</v>
      </c>
      <c r="Q503" s="304">
        <f t="shared" ca="1" si="222"/>
        <v>0</v>
      </c>
      <c r="R503" s="306">
        <f t="shared" ca="1" si="223"/>
        <v>0</v>
      </c>
      <c r="S503" s="307">
        <f t="shared" ca="1" si="224"/>
        <v>5.6519999999999806</v>
      </c>
      <c r="T503" s="304">
        <f t="shared" ca="1" si="204"/>
        <v>55.446119999999816</v>
      </c>
      <c r="U503" s="311">
        <f t="shared" ca="1" si="205"/>
        <v>0</v>
      </c>
      <c r="V503" s="306">
        <f t="shared" ca="1" si="206"/>
        <v>0.87444649833396426</v>
      </c>
      <c r="W503" s="304">
        <f t="shared" ca="1" si="207"/>
        <v>16.947999479395847</v>
      </c>
      <c r="Y503" s="314" t="str">
        <f t="shared" ca="1" si="225"/>
        <v/>
      </c>
      <c r="Z503" s="315" t="str">
        <f t="shared" ca="1" si="226"/>
        <v/>
      </c>
      <c r="AA503" s="316" t="str">
        <f t="shared" ca="1" si="227"/>
        <v/>
      </c>
      <c r="AC503" s="310" t="e">
        <f t="shared" ca="1" si="228"/>
        <v>#N/A</v>
      </c>
      <c r="AD503" s="323" t="e">
        <f t="shared" ca="1" si="229"/>
        <v>#N/A</v>
      </c>
      <c r="AE503" s="324">
        <f t="shared" ca="1" si="208"/>
        <v>3339.4849732462412</v>
      </c>
      <c r="AG503" s="306">
        <f t="shared" ca="1" si="230"/>
        <v>-12.524506523169798</v>
      </c>
      <c r="AH503" s="304">
        <f t="shared" ca="1" si="231"/>
        <v>-3.0716966325436554</v>
      </c>
    </row>
    <row r="504" spans="1:34" x14ac:dyDescent="0.2">
      <c r="A504" s="347">
        <f t="shared" ca="1" si="209"/>
        <v>0.1</v>
      </c>
      <c r="B504" s="304">
        <f t="shared" ca="1" si="210"/>
        <v>17.999999999999915</v>
      </c>
      <c r="D504" s="306">
        <f t="shared" ca="1" si="211"/>
        <v>-0.80878516838509362</v>
      </c>
      <c r="E504" s="307">
        <f t="shared" ca="1" si="212"/>
        <v>-12.697451373345974</v>
      </c>
      <c r="F504" s="304">
        <f t="shared" ca="1" si="213"/>
        <v>12.723183753569122</v>
      </c>
      <c r="G504" s="306">
        <f t="shared" ca="1" si="214"/>
        <v>29.103634924046037</v>
      </c>
      <c r="H504" s="307">
        <f t="shared" ca="1" si="215"/>
        <v>102.92215489908212</v>
      </c>
      <c r="I504" s="304">
        <f t="shared" ca="1" si="216"/>
        <v>106.95789608468748</v>
      </c>
      <c r="J504" s="306">
        <f t="shared" ca="1" si="217"/>
        <v>575.83851948292227</v>
      </c>
      <c r="K504" s="307">
        <f t="shared" ca="1" si="218"/>
        <v>3349.8406759930162</v>
      </c>
      <c r="L504" s="304">
        <f t="shared" ca="1" si="203"/>
        <v>3398.9737502748726</v>
      </c>
      <c r="M504" s="306">
        <f t="shared" ca="1" si="219"/>
        <v>1.295217821687531</v>
      </c>
      <c r="N504" s="304">
        <f t="shared" ca="1" si="220"/>
        <v>74.210514732823555</v>
      </c>
      <c r="P504" s="310">
        <f t="shared" ca="1" si="221"/>
        <v>23</v>
      </c>
      <c r="Q504" s="304">
        <f t="shared" ca="1" si="222"/>
        <v>0</v>
      </c>
      <c r="R504" s="306">
        <f t="shared" ca="1" si="223"/>
        <v>0</v>
      </c>
      <c r="S504" s="307">
        <f t="shared" ca="1" si="224"/>
        <v>5.6519999999999806</v>
      </c>
      <c r="T504" s="304">
        <f t="shared" ca="1" si="204"/>
        <v>55.446119999999816</v>
      </c>
      <c r="U504" s="311">
        <f t="shared" ca="1" si="205"/>
        <v>0</v>
      </c>
      <c r="V504" s="306">
        <f t="shared" ca="1" si="206"/>
        <v>0.87351538945955332</v>
      </c>
      <c r="W504" s="304">
        <f t="shared" ca="1" si="207"/>
        <v>16.542849843578544</v>
      </c>
      <c r="Y504" s="314" t="str">
        <f t="shared" ca="1" si="225"/>
        <v/>
      </c>
      <c r="Z504" s="315" t="str">
        <f t="shared" ca="1" si="226"/>
        <v/>
      </c>
      <c r="AA504" s="316" t="str">
        <f t="shared" ca="1" si="227"/>
        <v/>
      </c>
      <c r="AC504" s="310">
        <f t="shared" ca="1" si="228"/>
        <v>17.999999999999915</v>
      </c>
      <c r="AD504" s="323">
        <f t="shared" ca="1" si="229"/>
        <v>575.83851948292227</v>
      </c>
      <c r="AE504" s="324">
        <f t="shared" ca="1" si="208"/>
        <v>3349.8406759930162</v>
      </c>
      <c r="AG504" s="306">
        <f t="shared" ca="1" si="230"/>
        <v>-12.44500767175491</v>
      </c>
      <c r="AH504" s="304">
        <f t="shared" ca="1" si="231"/>
        <v>-2.998584479723267</v>
      </c>
    </row>
    <row r="505" spans="1:34" x14ac:dyDescent="0.2">
      <c r="A505" s="347">
        <f t="shared" ca="1" si="209"/>
        <v>0.1</v>
      </c>
      <c r="B505" s="304">
        <f t="shared" ca="1" si="210"/>
        <v>18.099999999999916</v>
      </c>
      <c r="D505" s="306">
        <f t="shared" ca="1" si="211"/>
        <v>-0.79642073230418708</v>
      </c>
      <c r="E505" s="307">
        <f t="shared" ca="1" si="212"/>
        <v>-12.626463929298643</v>
      </c>
      <c r="F505" s="304">
        <f t="shared" ca="1" si="213"/>
        <v>12.651556320892844</v>
      </c>
      <c r="G505" s="306">
        <f t="shared" ca="1" si="214"/>
        <v>29.02399285081562</v>
      </c>
      <c r="H505" s="307">
        <f t="shared" ca="1" si="215"/>
        <v>101.65950850615225</v>
      </c>
      <c r="I505" s="304">
        <f t="shared" ca="1" si="216"/>
        <v>105.72155802255583</v>
      </c>
      <c r="J505" s="306">
        <f t="shared" ca="1" si="217"/>
        <v>578.74490087166532</v>
      </c>
      <c r="K505" s="307">
        <f t="shared" ca="1" si="218"/>
        <v>3360.0697591632779</v>
      </c>
      <c r="L505" s="304">
        <f t="shared" ca="1" si="203"/>
        <v>3409.5475428168652</v>
      </c>
      <c r="M505" s="306">
        <f t="shared" ca="1" si="219"/>
        <v>1.2926929442787942</v>
      </c>
      <c r="N505" s="304">
        <f t="shared" ca="1" si="220"/>
        <v>74.065849913515009</v>
      </c>
      <c r="P505" s="310">
        <f t="shared" ca="1" si="221"/>
        <v>23</v>
      </c>
      <c r="Q505" s="304">
        <f t="shared" ca="1" si="222"/>
        <v>0</v>
      </c>
      <c r="R505" s="306">
        <f t="shared" ca="1" si="223"/>
        <v>0</v>
      </c>
      <c r="S505" s="307">
        <f t="shared" ca="1" si="224"/>
        <v>5.6519999999999806</v>
      </c>
      <c r="T505" s="304">
        <f t="shared" ca="1" si="204"/>
        <v>55.446119999999816</v>
      </c>
      <c r="U505" s="311">
        <f t="shared" ca="1" si="205"/>
        <v>0</v>
      </c>
      <c r="V505" s="306">
        <f t="shared" ca="1" si="206"/>
        <v>0.87259647574593147</v>
      </c>
      <c r="W505" s="304">
        <f t="shared" ca="1" si="207"/>
        <v>16.14561632676908</v>
      </c>
      <c r="Y505" s="314" t="str">
        <f t="shared" ca="1" si="225"/>
        <v/>
      </c>
      <c r="Z505" s="315" t="str">
        <f t="shared" ca="1" si="226"/>
        <v/>
      </c>
      <c r="AA505" s="316" t="str">
        <f t="shared" ca="1" si="227"/>
        <v/>
      </c>
      <c r="AC505" s="310" t="e">
        <f t="shared" ca="1" si="228"/>
        <v>#N/A</v>
      </c>
      <c r="AD505" s="323" t="e">
        <f t="shared" ca="1" si="229"/>
        <v>#N/A</v>
      </c>
      <c r="AE505" s="324">
        <f t="shared" ca="1" si="208"/>
        <v>3360.0697591632779</v>
      </c>
      <c r="AG505" s="306">
        <f t="shared" ca="1" si="230"/>
        <v>-12.366750497322437</v>
      </c>
      <c r="AH505" s="304">
        <f t="shared" ca="1" si="231"/>
        <v>-2.9269019539240273</v>
      </c>
    </row>
    <row r="506" spans="1:34" x14ac:dyDescent="0.2">
      <c r="A506" s="347">
        <f t="shared" ca="1" si="209"/>
        <v>0.1</v>
      </c>
      <c r="B506" s="304">
        <f t="shared" ca="1" si="210"/>
        <v>18.199999999999918</v>
      </c>
      <c r="D506" s="306">
        <f t="shared" ca="1" si="211"/>
        <v>-0.78423474316735164</v>
      </c>
      <c r="E506" s="307">
        <f t="shared" ca="1" si="212"/>
        <v>-12.556862533822638</v>
      </c>
      <c r="F506" s="304">
        <f t="shared" ca="1" si="213"/>
        <v>12.581328261583094</v>
      </c>
      <c r="G506" s="306">
        <f t="shared" ca="1" si="214"/>
        <v>28.945569376498884</v>
      </c>
      <c r="H506" s="307">
        <f t="shared" ca="1" si="215"/>
        <v>100.40382225276998</v>
      </c>
      <c r="I506" s="304">
        <f t="shared" ca="1" si="216"/>
        <v>104.49293521332214</v>
      </c>
      <c r="J506" s="306">
        <f t="shared" ca="1" si="217"/>
        <v>581.64337898303108</v>
      </c>
      <c r="K506" s="307">
        <f t="shared" ca="1" si="218"/>
        <v>3370.1729257012239</v>
      </c>
      <c r="L506" s="304">
        <f t="shared" ca="1" si="203"/>
        <v>3419.9962820804858</v>
      </c>
      <c r="M506" s="306">
        <f t="shared" ca="1" si="219"/>
        <v>1.2901155778748419</v>
      </c>
      <c r="N506" s="304">
        <f t="shared" ca="1" si="220"/>
        <v>73.918177696309726</v>
      </c>
      <c r="P506" s="310">
        <f t="shared" ca="1" si="221"/>
        <v>23</v>
      </c>
      <c r="Q506" s="304">
        <f t="shared" ca="1" si="222"/>
        <v>0</v>
      </c>
      <c r="R506" s="306">
        <f t="shared" ca="1" si="223"/>
        <v>0</v>
      </c>
      <c r="S506" s="307">
        <f t="shared" ca="1" si="224"/>
        <v>5.6519999999999806</v>
      </c>
      <c r="T506" s="304">
        <f t="shared" ca="1" si="204"/>
        <v>55.446119999999816</v>
      </c>
      <c r="U506" s="311">
        <f t="shared" ca="1" si="205"/>
        <v>0</v>
      </c>
      <c r="V506" s="306">
        <f t="shared" ca="1" si="206"/>
        <v>0.87168966317799523</v>
      </c>
      <c r="W506" s="304">
        <f t="shared" ca="1" si="207"/>
        <v>15.756139502914214</v>
      </c>
      <c r="Y506" s="314" t="str">
        <f t="shared" ca="1" si="225"/>
        <v/>
      </c>
      <c r="Z506" s="315" t="str">
        <f t="shared" ca="1" si="226"/>
        <v/>
      </c>
      <c r="AA506" s="316" t="str">
        <f t="shared" ca="1" si="227"/>
        <v/>
      </c>
      <c r="AC506" s="310" t="e">
        <f t="shared" ca="1" si="228"/>
        <v>#N/A</v>
      </c>
      <c r="AD506" s="323" t="e">
        <f t="shared" ca="1" si="229"/>
        <v>#N/A</v>
      </c>
      <c r="AE506" s="324">
        <f t="shared" ca="1" si="208"/>
        <v>3370.1729257012239</v>
      </c>
      <c r="AG506" s="306">
        <f t="shared" ca="1" si="230"/>
        <v>-12.289698727950768</v>
      </c>
      <c r="AH506" s="304">
        <f t="shared" ca="1" si="231"/>
        <v>-2.8566200153519348</v>
      </c>
    </row>
    <row r="507" spans="1:34" x14ac:dyDescent="0.2">
      <c r="A507" s="347">
        <f t="shared" ca="1" si="209"/>
        <v>0.1</v>
      </c>
      <c r="B507" s="304">
        <f t="shared" ca="1" si="210"/>
        <v>18.299999999999919</v>
      </c>
      <c r="D507" s="306">
        <f t="shared" ca="1" si="211"/>
        <v>-0.7722231772865592</v>
      </c>
      <c r="E507" s="307">
        <f t="shared" ca="1" si="212"/>
        <v>-12.488619225735443</v>
      </c>
      <c r="F507" s="304">
        <f t="shared" ca="1" si="213"/>
        <v>12.512471330674348</v>
      </c>
      <c r="G507" s="306">
        <f t="shared" ca="1" si="214"/>
        <v>28.86834705877023</v>
      </c>
      <c r="H507" s="307">
        <f t="shared" ca="1" si="215"/>
        <v>99.154960330196445</v>
      </c>
      <c r="I507" s="304">
        <f t="shared" ca="1" si="216"/>
        <v>103.27191108906835</v>
      </c>
      <c r="J507" s="306">
        <f t="shared" ca="1" si="217"/>
        <v>584.5340748047945</v>
      </c>
      <c r="K507" s="307">
        <f t="shared" ca="1" si="218"/>
        <v>3380.150864830372</v>
      </c>
      <c r="L507" s="304">
        <f t="shared" ca="1" si="203"/>
        <v>3430.320677957297</v>
      </c>
      <c r="M507" s="306">
        <f t="shared" ca="1" si="219"/>
        <v>1.2874842045803012</v>
      </c>
      <c r="N507" s="304">
        <f t="shared" ca="1" si="220"/>
        <v>73.767411112209118</v>
      </c>
      <c r="P507" s="310">
        <f t="shared" ca="1" si="221"/>
        <v>23</v>
      </c>
      <c r="Q507" s="304">
        <f t="shared" ca="1" si="222"/>
        <v>0</v>
      </c>
      <c r="R507" s="306">
        <f t="shared" ca="1" si="223"/>
        <v>0</v>
      </c>
      <c r="S507" s="307">
        <f t="shared" ca="1" si="224"/>
        <v>5.6519999999999806</v>
      </c>
      <c r="T507" s="304">
        <f t="shared" ca="1" si="204"/>
        <v>55.446119999999816</v>
      </c>
      <c r="U507" s="311">
        <f t="shared" ca="1" si="205"/>
        <v>0</v>
      </c>
      <c r="V507" s="306">
        <f t="shared" ca="1" si="206"/>
        <v>0.87079485963490211</v>
      </c>
      <c r="W507" s="304">
        <f t="shared" ca="1" si="207"/>
        <v>15.374264499763038</v>
      </c>
      <c r="Y507" s="314" t="str">
        <f t="shared" ca="1" si="225"/>
        <v/>
      </c>
      <c r="Z507" s="315" t="str">
        <f t="shared" ca="1" si="226"/>
        <v/>
      </c>
      <c r="AA507" s="316" t="str">
        <f t="shared" ca="1" si="227"/>
        <v/>
      </c>
      <c r="AC507" s="310" t="e">
        <f t="shared" ca="1" si="228"/>
        <v>#N/A</v>
      </c>
      <c r="AD507" s="323" t="e">
        <f t="shared" ca="1" si="229"/>
        <v>#N/A</v>
      </c>
      <c r="AE507" s="324">
        <f t="shared" ca="1" si="208"/>
        <v>3380.150864830372</v>
      </c>
      <c r="AG507" s="306">
        <f t="shared" ca="1" si="230"/>
        <v>-12.213816578796244</v>
      </c>
      <c r="AH507" s="304">
        <f t="shared" ca="1" si="231"/>
        <v>-2.787710456991201</v>
      </c>
    </row>
    <row r="508" spans="1:34" x14ac:dyDescent="0.2">
      <c r="A508" s="347">
        <f t="shared" ca="1" si="209"/>
        <v>0.1</v>
      </c>
      <c r="B508" s="304">
        <f t="shared" ca="1" si="210"/>
        <v>18.39999999999992</v>
      </c>
      <c r="D508" s="306">
        <f t="shared" ca="1" si="211"/>
        <v>-0.76038212534971794</v>
      </c>
      <c r="E508" s="307">
        <f t="shared" ca="1" si="212"/>
        <v>-12.421706840067813</v>
      </c>
      <c r="F508" s="304">
        <f t="shared" ca="1" si="213"/>
        <v>12.444958087399847</v>
      </c>
      <c r="G508" s="306">
        <f t="shared" ca="1" si="214"/>
        <v>28.792308846235258</v>
      </c>
      <c r="H508" s="307">
        <f t="shared" ca="1" si="215"/>
        <v>97.912789646189665</v>
      </c>
      <c r="I508" s="304">
        <f t="shared" ca="1" si="216"/>
        <v>102.05837263544811</v>
      </c>
      <c r="J508" s="306">
        <f t="shared" ca="1" si="217"/>
        <v>587.4171076000448</v>
      </c>
      <c r="K508" s="307">
        <f t="shared" ca="1" si="218"/>
        <v>3390.0042523291913</v>
      </c>
      <c r="L508" s="304">
        <f t="shared" ca="1" si="203"/>
        <v>3440.5214269222624</v>
      </c>
      <c r="M508" s="306">
        <f t="shared" ca="1" si="219"/>
        <v>1.2847972483322949</v>
      </c>
      <c r="N508" s="304">
        <f t="shared" ca="1" si="220"/>
        <v>73.61345985946204</v>
      </c>
      <c r="P508" s="310">
        <f t="shared" ca="1" si="221"/>
        <v>23</v>
      </c>
      <c r="Q508" s="304">
        <f t="shared" ca="1" si="222"/>
        <v>0</v>
      </c>
      <c r="R508" s="306">
        <f t="shared" ca="1" si="223"/>
        <v>0</v>
      </c>
      <c r="S508" s="307">
        <f t="shared" ca="1" si="224"/>
        <v>5.6519999999999806</v>
      </c>
      <c r="T508" s="304">
        <f t="shared" ca="1" si="204"/>
        <v>55.446119999999816</v>
      </c>
      <c r="U508" s="311">
        <f t="shared" ca="1" si="205"/>
        <v>0</v>
      </c>
      <c r="V508" s="306">
        <f t="shared" ca="1" si="206"/>
        <v>0.86991197485013494</v>
      </c>
      <c r="W508" s="304">
        <f t="shared" ca="1" si="207"/>
        <v>14.999840851770541</v>
      </c>
      <c r="Y508" s="314" t="str">
        <f t="shared" ca="1" si="225"/>
        <v/>
      </c>
      <c r="Z508" s="315" t="str">
        <f t="shared" ca="1" si="226"/>
        <v/>
      </c>
      <c r="AA508" s="316" t="str">
        <f t="shared" ca="1" si="227"/>
        <v/>
      </c>
      <c r="AC508" s="310" t="e">
        <f t="shared" ca="1" si="228"/>
        <v>#N/A</v>
      </c>
      <c r="AD508" s="323" t="e">
        <f t="shared" ca="1" si="229"/>
        <v>#N/A</v>
      </c>
      <c r="AE508" s="324">
        <f t="shared" ca="1" si="208"/>
        <v>3390.0042523291913</v>
      </c>
      <c r="AG508" s="306">
        <f t="shared" ca="1" si="230"/>
        <v>-12.139068705438481</v>
      </c>
      <c r="AH508" s="304">
        <f t="shared" ca="1" si="231"/>
        <v>-2.7201458775235476</v>
      </c>
    </row>
    <row r="509" spans="1:34" x14ac:dyDescent="0.2">
      <c r="A509" s="347">
        <f t="shared" ca="1" si="209"/>
        <v>0.1</v>
      </c>
      <c r="B509" s="304">
        <f t="shared" ca="1" si="210"/>
        <v>18.499999999999922</v>
      </c>
      <c r="D509" s="306">
        <f t="shared" ca="1" si="211"/>
        <v>-0.74870778897615908</v>
      </c>
      <c r="E509" s="307">
        <f t="shared" ca="1" si="212"/>
        <v>-12.356098982196484</v>
      </c>
      <c r="F509" s="304">
        <f t="shared" ca="1" si="213"/>
        <v>12.378761869068754</v>
      </c>
      <c r="G509" s="306">
        <f t="shared" ca="1" si="214"/>
        <v>28.717438067337643</v>
      </c>
      <c r="H509" s="307">
        <f t="shared" ca="1" si="215"/>
        <v>96.677179747970015</v>
      </c>
      <c r="I509" s="304">
        <f t="shared" ca="1" si="216"/>
        <v>100.85221035343092</v>
      </c>
      <c r="J509" s="306">
        <f t="shared" ca="1" si="217"/>
        <v>590.29259494572341</v>
      </c>
      <c r="K509" s="307">
        <f t="shared" ca="1" si="218"/>
        <v>3399.7337507988991</v>
      </c>
      <c r="L509" s="304">
        <f t="shared" ca="1" si="203"/>
        <v>3450.599212306307</v>
      </c>
      <c r="M509" s="306">
        <f t="shared" ca="1" si="219"/>
        <v>1.2820530721876882</v>
      </c>
      <c r="N509" s="304">
        <f t="shared" ca="1" si="220"/>
        <v>73.456230148135589</v>
      </c>
      <c r="P509" s="310">
        <f t="shared" ca="1" si="221"/>
        <v>23</v>
      </c>
      <c r="Q509" s="304">
        <f t="shared" ca="1" si="222"/>
        <v>0</v>
      </c>
      <c r="R509" s="306">
        <f t="shared" ca="1" si="223"/>
        <v>0</v>
      </c>
      <c r="S509" s="307">
        <f t="shared" ca="1" si="224"/>
        <v>5.6519999999999806</v>
      </c>
      <c r="T509" s="304">
        <f t="shared" ca="1" si="204"/>
        <v>55.446119999999816</v>
      </c>
      <c r="U509" s="311">
        <f t="shared" ca="1" si="205"/>
        <v>0</v>
      </c>
      <c r="V509" s="306">
        <f t="shared" ca="1" si="206"/>
        <v>0.86904092037274028</v>
      </c>
      <c r="W509" s="304">
        <f t="shared" ca="1" si="207"/>
        <v>14.632722358703187</v>
      </c>
      <c r="Y509" s="314" t="str">
        <f t="shared" ca="1" si="225"/>
        <v/>
      </c>
      <c r="Z509" s="315" t="str">
        <f t="shared" ca="1" si="226"/>
        <v/>
      </c>
      <c r="AA509" s="316" t="str">
        <f t="shared" ca="1" si="227"/>
        <v/>
      </c>
      <c r="AC509" s="310" t="e">
        <f t="shared" ca="1" si="228"/>
        <v>#N/A</v>
      </c>
      <c r="AD509" s="323" t="e">
        <f t="shared" ca="1" si="229"/>
        <v>#N/A</v>
      </c>
      <c r="AE509" s="324">
        <f t="shared" ca="1" si="208"/>
        <v>3399.7337507988991</v>
      </c>
      <c r="AG509" s="306">
        <f t="shared" ca="1" si="230"/>
        <v>-12.065420157007184</v>
      </c>
      <c r="AH509" s="304">
        <f t="shared" ca="1" si="231"/>
        <v>-2.6538996553026526</v>
      </c>
    </row>
    <row r="510" spans="1:34" x14ac:dyDescent="0.2">
      <c r="A510" s="347">
        <f t="shared" ca="1" si="209"/>
        <v>0.1</v>
      </c>
      <c r="B510" s="304">
        <f t="shared" ca="1" si="210"/>
        <v>18.599999999999923</v>
      </c>
      <c r="D510" s="306">
        <f t="shared" ca="1" si="211"/>
        <v>-0.73719647742554517</v>
      </c>
      <c r="E510" s="307">
        <f t="shared" ca="1" si="212"/>
        <v>-12.291770002969038</v>
      </c>
      <c r="F510" s="304">
        <f t="shared" ca="1" si="213"/>
        <v>12.313856765945351</v>
      </c>
      <c r="G510" s="306">
        <f t="shared" ca="1" si="214"/>
        <v>28.643718419595089</v>
      </c>
      <c r="H510" s="307">
        <f t="shared" ca="1" si="215"/>
        <v>95.448002747673115</v>
      </c>
      <c r="I510" s="304">
        <f t="shared" ca="1" si="216"/>
        <v>99.653318225841659</v>
      </c>
      <c r="J510" s="306">
        <f t="shared" ca="1" si="217"/>
        <v>593.1606527700701</v>
      </c>
      <c r="K510" s="307">
        <f t="shared" ca="1" si="218"/>
        <v>3409.3400099236815</v>
      </c>
      <c r="L510" s="304">
        <f t="shared" ca="1" si="203"/>
        <v>3460.5547045612534</v>
      </c>
      <c r="M510" s="306">
        <f t="shared" ca="1" si="219"/>
        <v>1.2792499754627507</v>
      </c>
      <c r="N510" s="304">
        <f t="shared" ca="1" si="220"/>
        <v>73.295624536229738</v>
      </c>
      <c r="P510" s="310">
        <f t="shared" ca="1" si="221"/>
        <v>23</v>
      </c>
      <c r="Q510" s="304">
        <f t="shared" ca="1" si="222"/>
        <v>0</v>
      </c>
      <c r="R510" s="306">
        <f t="shared" ca="1" si="223"/>
        <v>0</v>
      </c>
      <c r="S510" s="307">
        <f t="shared" ca="1" si="224"/>
        <v>5.6519999999999806</v>
      </c>
      <c r="T510" s="304">
        <f t="shared" ca="1" si="204"/>
        <v>55.446119999999816</v>
      </c>
      <c r="U510" s="311">
        <f t="shared" ca="1" si="205"/>
        <v>0</v>
      </c>
      <c r="V510" s="306">
        <f t="shared" ca="1" si="206"/>
        <v>0.86818160952969758</v>
      </c>
      <c r="W510" s="304">
        <f t="shared" ca="1" si="207"/>
        <v>14.272766949697568</v>
      </c>
      <c r="Y510" s="314" t="str">
        <f t="shared" ca="1" si="225"/>
        <v/>
      </c>
      <c r="Z510" s="315" t="str">
        <f t="shared" ca="1" si="226"/>
        <v/>
      </c>
      <c r="AA510" s="316" t="str">
        <f t="shared" ca="1" si="227"/>
        <v/>
      </c>
      <c r="AC510" s="310" t="e">
        <f t="shared" ca="1" si="228"/>
        <v>#N/A</v>
      </c>
      <c r="AD510" s="323" t="e">
        <f t="shared" ca="1" si="229"/>
        <v>#N/A</v>
      </c>
      <c r="AE510" s="324">
        <f t="shared" ca="1" si="208"/>
        <v>3409.3400099236815</v>
      </c>
      <c r="AG510" s="306">
        <f t="shared" ca="1" si="230"/>
        <v>-11.992836328951366</v>
      </c>
      <c r="AH510" s="304">
        <f t="shared" ca="1" si="231"/>
        <v>-2.5889459233374446</v>
      </c>
    </row>
    <row r="511" spans="1:34" x14ac:dyDescent="0.2">
      <c r="A511" s="347">
        <f t="shared" ca="1" si="209"/>
        <v>0.1</v>
      </c>
      <c r="B511" s="304">
        <f t="shared" ca="1" si="210"/>
        <v>18.699999999999925</v>
      </c>
      <c r="D511" s="306">
        <f t="shared" ca="1" si="211"/>
        <v>-0.72584460445490739</v>
      </c>
      <c r="E511" s="307">
        <f t="shared" ca="1" si="212"/>
        <v>-12.228694974776779</v>
      </c>
      <c r="F511" s="304">
        <f t="shared" ca="1" si="213"/>
        <v>12.25021759708566</v>
      </c>
      <c r="G511" s="306">
        <f t="shared" ca="1" si="214"/>
        <v>28.571133959149599</v>
      </c>
      <c r="H511" s="307">
        <f t="shared" ca="1" si="215"/>
        <v>94.225133250195441</v>
      </c>
      <c r="I511" s="304">
        <f t="shared" ca="1" si="216"/>
        <v>98.461593688751336</v>
      </c>
      <c r="J511" s="306">
        <f t="shared" ca="1" si="217"/>
        <v>596.02139538900735</v>
      </c>
      <c r="K511" s="307">
        <f t="shared" ca="1" si="218"/>
        <v>3418.8236667235751</v>
      </c>
      <c r="L511" s="304">
        <f t="shared" ca="1" si="203"/>
        <v>3470.3885615173831</v>
      </c>
      <c r="M511" s="306">
        <f t="shared" ca="1" si="219"/>
        <v>1.276386190716241</v>
      </c>
      <c r="N511" s="304">
        <f t="shared" ca="1" si="220"/>
        <v>73.131541756820795</v>
      </c>
      <c r="P511" s="310">
        <f t="shared" ca="1" si="221"/>
        <v>23</v>
      </c>
      <c r="Q511" s="304">
        <f t="shared" ca="1" si="222"/>
        <v>0</v>
      </c>
      <c r="R511" s="306">
        <f t="shared" ca="1" si="223"/>
        <v>0</v>
      </c>
      <c r="S511" s="307">
        <f t="shared" ca="1" si="224"/>
        <v>5.6519999999999806</v>
      </c>
      <c r="T511" s="304">
        <f t="shared" ca="1" si="204"/>
        <v>55.446119999999816</v>
      </c>
      <c r="U511" s="311">
        <f t="shared" ca="1" si="205"/>
        <v>0</v>
      </c>
      <c r="V511" s="306">
        <f t="shared" ca="1" si="206"/>
        <v>0.86733395738938812</v>
      </c>
      <c r="W511" s="304">
        <f t="shared" ca="1" si="207"/>
        <v>13.919836552535784</v>
      </c>
      <c r="Y511" s="314" t="str">
        <f t="shared" ca="1" si="225"/>
        <v/>
      </c>
      <c r="Z511" s="315" t="str">
        <f t="shared" ca="1" si="226"/>
        <v/>
      </c>
      <c r="AA511" s="316" t="str">
        <f t="shared" ca="1" si="227"/>
        <v/>
      </c>
      <c r="AC511" s="310" t="e">
        <f t="shared" ca="1" si="228"/>
        <v>#N/A</v>
      </c>
      <c r="AD511" s="323" t="e">
        <f t="shared" ca="1" si="229"/>
        <v>#N/A</v>
      </c>
      <c r="AE511" s="324">
        <f t="shared" ca="1" si="208"/>
        <v>3418.8236667235751</v>
      </c>
      <c r="AG511" s="306">
        <f t="shared" ca="1" si="230"/>
        <v>-11.921282915306614</v>
      </c>
      <c r="AH511" s="304">
        <f t="shared" ca="1" si="231"/>
        <v>-2.5252595452402011</v>
      </c>
    </row>
    <row r="512" spans="1:34" x14ac:dyDescent="0.2">
      <c r="A512" s="347">
        <f t="shared" ca="1" si="209"/>
        <v>0.1</v>
      </c>
      <c r="B512" s="304">
        <f t="shared" ca="1" si="210"/>
        <v>18.799999999999926</v>
      </c>
      <c r="D512" s="306">
        <f t="shared" ca="1" si="211"/>
        <v>-0.71464868531891024</v>
      </c>
      <c r="E512" s="307">
        <f t="shared" ca="1" si="212"/>
        <v>-12.166849668533617</v>
      </c>
      <c r="F512" s="304">
        <f t="shared" ca="1" si="213"/>
        <v>12.187819887089102</v>
      </c>
      <c r="G512" s="306">
        <f t="shared" ca="1" si="214"/>
        <v>28.499669090617708</v>
      </c>
      <c r="H512" s="307">
        <f t="shared" ca="1" si="215"/>
        <v>93.008448283342076</v>
      </c>
      <c r="I512" s="304">
        <f t="shared" ca="1" si="216"/>
        <v>97.27693760778979</v>
      </c>
      <c r="J512" s="306">
        <f t="shared" ca="1" si="217"/>
        <v>598.87493554149569</v>
      </c>
      <c r="K512" s="307">
        <f t="shared" ca="1" si="218"/>
        <v>3428.185345800252</v>
      </c>
      <c r="L512" s="304">
        <f t="shared" ca="1" si="203"/>
        <v>3480.1014286338586</v>
      </c>
      <c r="M512" s="306">
        <f t="shared" ca="1" si="219"/>
        <v>1.2734598805663342</v>
      </c>
      <c r="N512" s="304">
        <f t="shared" ca="1" si="220"/>
        <v>72.963876535684832</v>
      </c>
      <c r="P512" s="310">
        <f t="shared" ca="1" si="221"/>
        <v>23</v>
      </c>
      <c r="Q512" s="304">
        <f t="shared" ca="1" si="222"/>
        <v>0</v>
      </c>
      <c r="R512" s="306">
        <f t="shared" ca="1" si="223"/>
        <v>0</v>
      </c>
      <c r="S512" s="307">
        <f t="shared" ca="1" si="224"/>
        <v>5.6519999999999806</v>
      </c>
      <c r="T512" s="304">
        <f t="shared" ca="1" si="204"/>
        <v>55.446119999999816</v>
      </c>
      <c r="U512" s="311">
        <f t="shared" ca="1" si="205"/>
        <v>0</v>
      </c>
      <c r="V512" s="306">
        <f t="shared" ca="1" si="206"/>
        <v>0.86649788072612155</v>
      </c>
      <c r="W512" s="304">
        <f t="shared" ca="1" si="207"/>
        <v>13.573796967912386</v>
      </c>
      <c r="Y512" s="314" t="str">
        <f t="shared" ca="1" si="225"/>
        <v/>
      </c>
      <c r="Z512" s="315" t="str">
        <f t="shared" ca="1" si="226"/>
        <v/>
      </c>
      <c r="AA512" s="316" t="str">
        <f t="shared" ca="1" si="227"/>
        <v/>
      </c>
      <c r="AC512" s="310" t="e">
        <f t="shared" ca="1" si="228"/>
        <v>#N/A</v>
      </c>
      <c r="AD512" s="323" t="e">
        <f t="shared" ca="1" si="229"/>
        <v>#N/A</v>
      </c>
      <c r="AE512" s="324">
        <f t="shared" ca="1" si="208"/>
        <v>3428.185345800252</v>
      </c>
      <c r="AG512" s="306">
        <f t="shared" ca="1" si="230"/>
        <v>-11.850725860310321</v>
      </c>
      <c r="AH512" s="304">
        <f t="shared" ca="1" si="231"/>
        <v>-2.462816092097635</v>
      </c>
    </row>
    <row r="513" spans="1:34" x14ac:dyDescent="0.2">
      <c r="A513" s="347">
        <f t="shared" ca="1" si="209"/>
        <v>0.1</v>
      </c>
      <c r="B513" s="304">
        <f t="shared" ca="1" si="210"/>
        <v>18.899999999999928</v>
      </c>
      <c r="D513" s="306">
        <f t="shared" ca="1" si="211"/>
        <v>-0.70360533390875912</v>
      </c>
      <c r="E513" s="307">
        <f t="shared" ca="1" si="212"/>
        <v>-12.10621053152088</v>
      </c>
      <c r="F513" s="304">
        <f t="shared" ca="1" si="213"/>
        <v>12.126639843724721</v>
      </c>
      <c r="G513" s="306">
        <f t="shared" ca="1" si="214"/>
        <v>28.429308557226832</v>
      </c>
      <c r="H513" s="307">
        <f t="shared" ca="1" si="215"/>
        <v>91.797827230189995</v>
      </c>
      <c r="I513" s="304">
        <f t="shared" ca="1" si="216"/>
        <v>96.099254259467713</v>
      </c>
      <c r="J513" s="306">
        <f t="shared" ca="1" si="217"/>
        <v>601.72138442388791</v>
      </c>
      <c r="K513" s="307">
        <f t="shared" ca="1" si="218"/>
        <v>3437.4256595759284</v>
      </c>
      <c r="L513" s="304">
        <f t="shared" ca="1" si="203"/>
        <v>3489.6939392422378</v>
      </c>
      <c r="M513" s="306">
        <f t="shared" ca="1" si="219"/>
        <v>1.2704691343311751</v>
      </c>
      <c r="N513" s="304">
        <f t="shared" ca="1" si="220"/>
        <v>72.792519398815585</v>
      </c>
      <c r="P513" s="310">
        <f t="shared" ca="1" si="221"/>
        <v>23</v>
      </c>
      <c r="Q513" s="304">
        <f t="shared" ca="1" si="222"/>
        <v>0</v>
      </c>
      <c r="R513" s="306">
        <f t="shared" ca="1" si="223"/>
        <v>0</v>
      </c>
      <c r="S513" s="307">
        <f t="shared" ca="1" si="224"/>
        <v>5.6519999999999806</v>
      </c>
      <c r="T513" s="304">
        <f t="shared" ca="1" si="204"/>
        <v>55.446119999999816</v>
      </c>
      <c r="U513" s="311">
        <f t="shared" ca="1" si="205"/>
        <v>0</v>
      </c>
      <c r="V513" s="306">
        <f t="shared" ca="1" si="206"/>
        <v>0.86567329798568826</v>
      </c>
      <c r="W513" s="304">
        <f t="shared" ca="1" si="207"/>
        <v>13.234517748479009</v>
      </c>
      <c r="Y513" s="314" t="str">
        <f t="shared" ca="1" si="225"/>
        <v/>
      </c>
      <c r="Z513" s="315" t="str">
        <f t="shared" ca="1" si="226"/>
        <v/>
      </c>
      <c r="AA513" s="316" t="str">
        <f t="shared" ca="1" si="227"/>
        <v/>
      </c>
      <c r="AC513" s="310" t="e">
        <f t="shared" ca="1" si="228"/>
        <v>#N/A</v>
      </c>
      <c r="AD513" s="323" t="e">
        <f t="shared" ca="1" si="229"/>
        <v>#N/A</v>
      </c>
      <c r="AE513" s="324">
        <f t="shared" ca="1" si="208"/>
        <v>3437.4256595759284</v>
      </c>
      <c r="AG513" s="306">
        <f t="shared" ca="1" si="230"/>
        <v>-11.781131309207987</v>
      </c>
      <c r="AH513" s="304">
        <f t="shared" ca="1" si="231"/>
        <v>-2.4015918202251298</v>
      </c>
    </row>
    <row r="514" spans="1:34" x14ac:dyDescent="0.2">
      <c r="A514" s="347">
        <f t="shared" ca="1" si="209"/>
        <v>0.1</v>
      </c>
      <c r="B514" s="304">
        <f t="shared" ca="1" si="210"/>
        <v>18.999999999999929</v>
      </c>
      <c r="D514" s="306">
        <f t="shared" ca="1" si="211"/>
        <v>-0.69271126002555428</v>
      </c>
      <c r="E514" s="307">
        <f t="shared" ca="1" si="212"/>
        <v>-12.046754666059876</v>
      </c>
      <c r="F514" s="304">
        <f t="shared" ca="1" si="213"/>
        <v>12.066654336393398</v>
      </c>
      <c r="G514" s="306">
        <f t="shared" ca="1" si="214"/>
        <v>28.360037431224278</v>
      </c>
      <c r="H514" s="307">
        <f t="shared" ca="1" si="215"/>
        <v>90.593151763584004</v>
      </c>
      <c r="I514" s="304">
        <f t="shared" ca="1" si="216"/>
        <v>94.928451317611859</v>
      </c>
      <c r="J514" s="306">
        <f t="shared" ca="1" si="217"/>
        <v>604.56085172331052</v>
      </c>
      <c r="K514" s="307">
        <f t="shared" ca="1" si="218"/>
        <v>3446.545208525617</v>
      </c>
      <c r="L514" s="304">
        <f t="shared" ca="1" si="203"/>
        <v>3499.1667147832932</v>
      </c>
      <c r="M514" s="306">
        <f t="shared" ca="1" si="219"/>
        <v>1.2674119644821826</v>
      </c>
      <c r="N514" s="304">
        <f t="shared" ca="1" si="220"/>
        <v>72.617356469213661</v>
      </c>
      <c r="P514" s="310">
        <f t="shared" ca="1" si="221"/>
        <v>23</v>
      </c>
      <c r="Q514" s="304">
        <f t="shared" ca="1" si="222"/>
        <v>0</v>
      </c>
      <c r="R514" s="306">
        <f t="shared" ca="1" si="223"/>
        <v>0</v>
      </c>
      <c r="S514" s="307">
        <f t="shared" ca="1" si="224"/>
        <v>5.6519999999999806</v>
      </c>
      <c r="T514" s="304">
        <f t="shared" ca="1" si="204"/>
        <v>55.446119999999816</v>
      </c>
      <c r="U514" s="311">
        <f t="shared" ca="1" si="205"/>
        <v>0</v>
      </c>
      <c r="V514" s="306">
        <f t="shared" ca="1" si="206"/>
        <v>0.86486012925190581</v>
      </c>
      <c r="W514" s="304">
        <f t="shared" ca="1" si="207"/>
        <v>12.901872082462971</v>
      </c>
      <c r="Y514" s="314" t="str">
        <f t="shared" ca="1" si="225"/>
        <v/>
      </c>
      <c r="Z514" s="315" t="str">
        <f t="shared" ca="1" si="226"/>
        <v/>
      </c>
      <c r="AA514" s="316" t="str">
        <f t="shared" ca="1" si="227"/>
        <v/>
      </c>
      <c r="AC514" s="310">
        <f t="shared" ca="1" si="228"/>
        <v>18.999999999999929</v>
      </c>
      <c r="AD514" s="323">
        <f t="shared" ca="1" si="229"/>
        <v>604.56085172331052</v>
      </c>
      <c r="AE514" s="324">
        <f t="shared" ca="1" si="208"/>
        <v>3446.545208525617</v>
      </c>
      <c r="AG514" s="306">
        <f t="shared" ca="1" si="230"/>
        <v>-11.712465558086173</v>
      </c>
      <c r="AH514" s="304">
        <f t="shared" ca="1" si="231"/>
        <v>-2.3415636497662868</v>
      </c>
    </row>
    <row r="515" spans="1:34" x14ac:dyDescent="0.2">
      <c r="A515" s="347">
        <f t="shared" ca="1" si="209"/>
        <v>0.1</v>
      </c>
      <c r="B515" s="304">
        <f t="shared" ca="1" si="210"/>
        <v>19.09999999999993</v>
      </c>
      <c r="D515" s="306">
        <f t="shared" ca="1" si="211"/>
        <v>-0.68196326678419672</v>
      </c>
      <c r="E515" s="307">
        <f t="shared" ca="1" si="212"/>
        <v>-11.988459808975762</v>
      </c>
      <c r="F515" s="304">
        <f t="shared" ca="1" si="213"/>
        <v>12.007840875389302</v>
      </c>
      <c r="G515" s="306">
        <f t="shared" ca="1" si="214"/>
        <v>28.29184110454586</v>
      </c>
      <c r="H515" s="307">
        <f t="shared" ca="1" si="215"/>
        <v>89.39430578268643</v>
      </c>
      <c r="I515" s="304">
        <f t="shared" ca="1" si="216"/>
        <v>93.764439845035682</v>
      </c>
      <c r="J515" s="306">
        <f t="shared" ca="1" si="217"/>
        <v>607.39344565009901</v>
      </c>
      <c r="K515" s="307">
        <f t="shared" ca="1" si="218"/>
        <v>3455.5445814029304</v>
      </c>
      <c r="L515" s="304">
        <f t="shared" ca="1" si="203"/>
        <v>3508.5203650373546</v>
      </c>
      <c r="M515" s="306">
        <f t="shared" ca="1" si="219"/>
        <v>1.2642863028985045</v>
      </c>
      <c r="N515" s="304">
        <f t="shared" ca="1" si="220"/>
        <v>72.438269252282723</v>
      </c>
      <c r="P515" s="310">
        <f t="shared" ca="1" si="221"/>
        <v>23</v>
      </c>
      <c r="Q515" s="304">
        <f t="shared" ca="1" si="222"/>
        <v>0</v>
      </c>
      <c r="R515" s="306">
        <f t="shared" ca="1" si="223"/>
        <v>0</v>
      </c>
      <c r="S515" s="307">
        <f t="shared" ca="1" si="224"/>
        <v>5.6519999999999806</v>
      </c>
      <c r="T515" s="304">
        <f t="shared" ca="1" si="204"/>
        <v>55.446119999999816</v>
      </c>
      <c r="U515" s="311">
        <f t="shared" ca="1" si="205"/>
        <v>0</v>
      </c>
      <c r="V515" s="306">
        <f t="shared" ca="1" si="206"/>
        <v>0.86405829621412267</v>
      </c>
      <c r="W515" s="304">
        <f t="shared" ca="1" si="207"/>
        <v>12.575736681666006</v>
      </c>
      <c r="Y515" s="314" t="str">
        <f t="shared" ca="1" si="225"/>
        <v/>
      </c>
      <c r="Z515" s="315" t="str">
        <f t="shared" ca="1" si="226"/>
        <v/>
      </c>
      <c r="AA515" s="316" t="str">
        <f t="shared" ca="1" si="227"/>
        <v/>
      </c>
      <c r="AC515" s="310" t="e">
        <f t="shared" ca="1" si="228"/>
        <v>#N/A</v>
      </c>
      <c r="AD515" s="323" t="e">
        <f t="shared" ca="1" si="229"/>
        <v>#N/A</v>
      </c>
      <c r="AE515" s="324">
        <f t="shared" ca="1" si="208"/>
        <v>3455.5445814029304</v>
      </c>
      <c r="AG515" s="306">
        <f t="shared" ca="1" si="230"/>
        <v>-11.644695002559295</v>
      </c>
      <c r="AH515" s="304">
        <f t="shared" ca="1" si="231"/>
        <v>-2.2827091441017364</v>
      </c>
    </row>
    <row r="516" spans="1:34" x14ac:dyDescent="0.2">
      <c r="A516" s="347">
        <f t="shared" ca="1" si="209"/>
        <v>0.1</v>
      </c>
      <c r="B516" s="304">
        <f t="shared" ca="1" si="210"/>
        <v>19.199999999999932</v>
      </c>
      <c r="D516" s="306">
        <f t="shared" ca="1" si="211"/>
        <v>-0.67135824814429867</v>
      </c>
      <c r="E516" s="307">
        <f t="shared" ca="1" si="212"/>
        <v>-11.931304311817902</v>
      </c>
      <c r="F516" s="304">
        <f t="shared" ca="1" si="213"/>
        <v>11.950177591925394</v>
      </c>
      <c r="G516" s="306">
        <f t="shared" ca="1" si="214"/>
        <v>28.224705279731431</v>
      </c>
      <c r="H516" s="307">
        <f t="shared" ca="1" si="215"/>
        <v>88.201175351504645</v>
      </c>
      <c r="I516" s="304">
        <f t="shared" ca="1" si="216"/>
        <v>92.607134290585677</v>
      </c>
      <c r="J516" s="306">
        <f t="shared" ca="1" si="217"/>
        <v>610.2192729693129</v>
      </c>
      <c r="K516" s="307">
        <f t="shared" ca="1" si="218"/>
        <v>3464.4243554596401</v>
      </c>
      <c r="L516" s="304">
        <f t="shared" ref="L516:L579" ca="1" si="232">SQRT(pos_x^2+pos_z^2)</f>
        <v>3517.7554883483785</v>
      </c>
      <c r="M516" s="306">
        <f t="shared" ca="1" si="219"/>
        <v>1.2610899969102665</v>
      </c>
      <c r="N516" s="304">
        <f t="shared" ca="1" si="220"/>
        <v>72.255134409124295</v>
      </c>
      <c r="P516" s="310">
        <f t="shared" ca="1" si="221"/>
        <v>23</v>
      </c>
      <c r="Q516" s="304">
        <f t="shared" ca="1" si="222"/>
        <v>0</v>
      </c>
      <c r="R516" s="306">
        <f t="shared" ca="1" si="223"/>
        <v>0</v>
      </c>
      <c r="S516" s="307">
        <f t="shared" ca="1" si="224"/>
        <v>5.6519999999999806</v>
      </c>
      <c r="T516" s="304">
        <f t="shared" ref="T516:T579" ca="1" si="233">m*g</f>
        <v>55.446119999999816</v>
      </c>
      <c r="U516" s="311">
        <f t="shared" ref="U516:U579" ca="1" si="234">IF(pos_xz&lt;L_rampe,Poids*COS(Beta),0)</f>
        <v>0</v>
      </c>
      <c r="V516" s="306">
        <f t="shared" ref="V516:V579" ca="1" si="235">Rho_moyen*(20000-Alt_rampe-pos_z)/(20000+Alt_rampe+pos_z)</f>
        <v>0.86326772213565139</v>
      </c>
      <c r="W516" s="304">
        <f t="shared" ref="W516:W579" ca="1" si="236">1/2*Rho*Sref*Cx*vit_xz^2</f>
        <v>12.255991673658471</v>
      </c>
      <c r="Y516" s="314" t="str">
        <f t="shared" ca="1" si="225"/>
        <v/>
      </c>
      <c r="Z516" s="315" t="str">
        <f t="shared" ca="1" si="226"/>
        <v/>
      </c>
      <c r="AA516" s="316" t="str">
        <f t="shared" ca="1" si="227"/>
        <v/>
      </c>
      <c r="AC516" s="310" t="e">
        <f t="shared" ca="1" si="228"/>
        <v>#N/A</v>
      </c>
      <c r="AD516" s="323" t="e">
        <f t="shared" ca="1" si="229"/>
        <v>#N/A</v>
      </c>
      <c r="AE516" s="324">
        <f t="shared" ref="AE516:AE579" ca="1" si="237">IF(t&lt;T_para, pos_z, NA())</f>
        <v>3464.4243554596401</v>
      </c>
      <c r="AG516" s="306">
        <f t="shared" ca="1" si="230"/>
        <v>-11.577786085127828</v>
      </c>
      <c r="AH516" s="304">
        <f t="shared" ca="1" si="231"/>
        <v>-2.2250064900329174</v>
      </c>
    </row>
    <row r="517" spans="1:34" x14ac:dyDescent="0.2">
      <c r="A517" s="347">
        <f t="shared" ref="A517:A580" ca="1" si="238">IF(B516+0.01&lt;=T_ini+ROUNDUP(Temps_fin_propu,0), 0.01, IF(K516&gt;0, 0.1, 0.0001))</f>
        <v>0.1</v>
      </c>
      <c r="B517" s="304">
        <f t="shared" ref="B517:B580" ca="1" si="239">B516+pas</f>
        <v>19.299999999999933</v>
      </c>
      <c r="D517" s="306">
        <f t="shared" ref="D517:D580" ca="1" si="240">IF(AND(L516&lt;L_rampe,Poussee&lt;Poids*SIN(M516)),0,(-W516+Poussee)/m*COS(M516)-U516/m*SIN(M516))</f>
        <v>-0.6608931865648684</v>
      </c>
      <c r="E517" s="307">
        <f t="shared" ref="E517:E580" ca="1" si="241">IF(AND(L516&lt;L_rampe,Poussee&lt;Poids*SIN(M516)),0,(-W516+Poussee)/m*SIN(M516)+U516/m*COS(M516)-Poids/m)</f>
        <v>-11.875267121803487</v>
      </c>
      <c r="F517" s="304">
        <f t="shared" ref="F517:F580" ca="1" si="242">SQRT(acc_x^2+acc_z^2)</f>
        <v>11.893643218889439</v>
      </c>
      <c r="G517" s="306">
        <f t="shared" ref="G517:G580" ca="1" si="243">G516+acc_x*pas</f>
        <v>28.158615961074943</v>
      </c>
      <c r="H517" s="307">
        <f t="shared" ref="H517:H580" ca="1" si="244">H516+acc_z*pas</f>
        <v>87.013648639324302</v>
      </c>
      <c r="I517" s="304">
        <f t="shared" ref="I517:I580" ca="1" si="245">SQRT(vit_x^2+vit_z^2)</f>
        <v>91.456452491724662</v>
      </c>
      <c r="J517" s="306">
        <f t="shared" ref="J517:J580" ca="1" si="246">J516+0.5*(vit_x+G516)*pas*(K516&gt;=0)</f>
        <v>613.03843903135316</v>
      </c>
      <c r="K517" s="307">
        <f t="shared" ref="K517:K580" ca="1" si="247">K516+0.5*(vit_z+H516)*pas</f>
        <v>3473.1850966591815</v>
      </c>
      <c r="L517" s="304">
        <f t="shared" ca="1" si="232"/>
        <v>3526.8726718419316</v>
      </c>
      <c r="M517" s="306">
        <f t="shared" ref="M517:M580" ca="1" si="248">IF(AND(L516&gt;L_rampe,G517&gt;0),ATAN2(G517,H517),$M$4)</f>
        <v>1.2578208051174462</v>
      </c>
      <c r="N517" s="304">
        <f t="shared" ref="N517:N580" ca="1" si="249">DEGREES(Beta)</f>
        <v>72.067823516976887</v>
      </c>
      <c r="P517" s="310">
        <f t="shared" ref="P517:P580" ca="1" si="250">MATCH(t-pas/2-T_ini,CdP_t)</f>
        <v>23</v>
      </c>
      <c r="Q517" s="304">
        <f t="shared" ref="Q517:Q580" ca="1" si="251">(INDEX(CdP,2,i_P+1)-INDEX(CdP,2,i_P+0))/(INDEX(CdP,1,i_P+1)-INDEX(CdP,1,i_P+0))*(t-pas/2-T_ini-INDEX(CdP,1,i_P+0))+INDEX(CdP,2,i_P+0)</f>
        <v>0</v>
      </c>
      <c r="R517" s="306">
        <f t="shared" ref="R517:R580" ca="1" si="252">Poussee/(g*ISP)</f>
        <v>0</v>
      </c>
      <c r="S517" s="307">
        <f t="shared" ref="S517:S580" ca="1" si="253">S516-Débit*pas</f>
        <v>5.6519999999999806</v>
      </c>
      <c r="T517" s="304">
        <f t="shared" ca="1" si="233"/>
        <v>55.446119999999816</v>
      </c>
      <c r="U517" s="311">
        <f t="shared" ca="1" si="234"/>
        <v>0</v>
      </c>
      <c r="V517" s="306">
        <f t="shared" ca="1" si="235"/>
        <v>0.86248833182310314</v>
      </c>
      <c r="W517" s="304">
        <f t="shared" ca="1" si="236"/>
        <v>11.942520497993428</v>
      </c>
      <c r="Y517" s="314" t="str">
        <f t="shared" ref="Y517:Y580" ca="1" si="254">IF(AND(pos_z&lt;=0,K516&gt;0),"Impact balistique","") &amp; IF(AND(H518&lt;0,vit_z&gt;=0),"Apogée","") &amp; IF(AND(Poussee=0,Q516&gt;0),"Fin de propulsion","") &amp; IF(AND(L518&gt;L_rampe,pos_xz&lt;=L_rampe),"Sortie de rampe","")</f>
        <v/>
      </c>
      <c r="Z517" s="315" t="str">
        <f t="shared" ref="Z517:Z580" ca="1" si="255">IF(ABS(t-T_para)&lt;pas/2,"Para","")</f>
        <v/>
      </c>
      <c r="AA517" s="316" t="str">
        <f t="shared" ref="AA517:AA580" ca="1" si="256">IF(ABS(t-T_satellite)&lt;pas/2,"Satellite","")</f>
        <v/>
      </c>
      <c r="AC517" s="310" t="e">
        <f t="shared" ref="AC517:AC580" ca="1" si="257">IF(ABS(t-ROUND(t,0))&lt;0.001,t,NA())</f>
        <v>#N/A</v>
      </c>
      <c r="AD517" s="323" t="e">
        <f t="shared" ref="AD517:AD580" ca="1" si="258">IF(ABS(t-ROUND(t,0))&lt;0.001,pos_x,NA())</f>
        <v>#N/A</v>
      </c>
      <c r="AE517" s="324">
        <f t="shared" ca="1" si="237"/>
        <v>3473.1850966591815</v>
      </c>
      <c r="AG517" s="306">
        <f t="shared" ref="AG517:AG580" ca="1" si="259">IF(AND(L516&lt;L_rampe,Poussee&lt;Poids*SIN(M516)),0,(-W516+Poussee)/m-Poids*SIN(M516)/m)</f>
        <v>-11.511705241015088</v>
      </c>
      <c r="AH517" s="304">
        <f t="shared" ref="AH517:AH580" ca="1" si="260">IF(AND(L516&lt;L_rampe,Poussee&lt;Poids*SIN(M516)), g*SIN(M516), (-W516+Poussee)/m)</f>
        <v>-2.1684344787081589</v>
      </c>
    </row>
    <row r="518" spans="1:34" x14ac:dyDescent="0.2">
      <c r="A518" s="347">
        <f t="shared" ca="1" si="238"/>
        <v>0.1</v>
      </c>
      <c r="B518" s="304">
        <f t="shared" ca="1" si="239"/>
        <v>19.399999999999935</v>
      </c>
      <c r="D518" s="306">
        <f t="shared" ca="1" si="240"/>
        <v>-0.65056515077987576</v>
      </c>
      <c r="E518" s="307">
        <f t="shared" ca="1" si="241"/>
        <v>-11.820327763452624</v>
      </c>
      <c r="F518" s="304">
        <f t="shared" ca="1" si="242"/>
        <v>11.838217072298436</v>
      </c>
      <c r="G518" s="306">
        <f t="shared" ca="1" si="243"/>
        <v>28.093559445996956</v>
      </c>
      <c r="H518" s="307">
        <f t="shared" ca="1" si="244"/>
        <v>85.831615862979035</v>
      </c>
      <c r="I518" s="304">
        <f t="shared" ca="1" si="245"/>
        <v>90.312315682833415</v>
      </c>
      <c r="J518" s="306">
        <f t="shared" ca="1" si="246"/>
        <v>615.85104780170673</v>
      </c>
      <c r="K518" s="307">
        <f t="shared" ca="1" si="247"/>
        <v>3481.8273598842966</v>
      </c>
      <c r="L518" s="304">
        <f t="shared" ca="1" si="232"/>
        <v>3535.8724916372921</v>
      </c>
      <c r="M518" s="306">
        <f t="shared" ca="1" si="248"/>
        <v>1.2544763929703453</v>
      </c>
      <c r="N518" s="304">
        <f t="shared" ca="1" si="249"/>
        <v>71.876202815995725</v>
      </c>
      <c r="P518" s="310">
        <f t="shared" ca="1" si="250"/>
        <v>23</v>
      </c>
      <c r="Q518" s="304">
        <f t="shared" ca="1" si="251"/>
        <v>0</v>
      </c>
      <c r="R518" s="306">
        <f t="shared" ca="1" si="252"/>
        <v>0</v>
      </c>
      <c r="S518" s="307">
        <f t="shared" ca="1" si="253"/>
        <v>5.6519999999999806</v>
      </c>
      <c r="T518" s="304">
        <f t="shared" ca="1" si="233"/>
        <v>55.446119999999816</v>
      </c>
      <c r="U518" s="311">
        <f t="shared" ca="1" si="234"/>
        <v>0</v>
      </c>
      <c r="V518" s="306">
        <f t="shared" ca="1" si="235"/>
        <v>0.86172005159659093</v>
      </c>
      <c r="W518" s="304">
        <f t="shared" ca="1" si="236"/>
        <v>11.635209806272906</v>
      </c>
      <c r="Y518" s="314" t="str">
        <f t="shared" ca="1" si="254"/>
        <v/>
      </c>
      <c r="Z518" s="315" t="str">
        <f t="shared" ca="1" si="255"/>
        <v/>
      </c>
      <c r="AA518" s="316" t="str">
        <f t="shared" ca="1" si="256"/>
        <v/>
      </c>
      <c r="AC518" s="310" t="e">
        <f t="shared" ca="1" si="257"/>
        <v>#N/A</v>
      </c>
      <c r="AD518" s="323" t="e">
        <f t="shared" ca="1" si="258"/>
        <v>#N/A</v>
      </c>
      <c r="AE518" s="324">
        <f t="shared" ca="1" si="237"/>
        <v>3481.8273598842966</v>
      </c>
      <c r="AG518" s="306">
        <f t="shared" ca="1" si="259"/>
        <v>-11.446418842278069</v>
      </c>
      <c r="AH518" s="304">
        <f t="shared" ca="1" si="260"/>
        <v>-2.1129724872599911</v>
      </c>
    </row>
    <row r="519" spans="1:34" x14ac:dyDescent="0.2">
      <c r="A519" s="347">
        <f t="shared" ca="1" si="238"/>
        <v>0.1</v>
      </c>
      <c r="B519" s="304">
        <f t="shared" ca="1" si="239"/>
        <v>19.499999999999936</v>
      </c>
      <c r="D519" s="306">
        <f t="shared" ca="1" si="240"/>
        <v>-0.64037129369208856</v>
      </c>
      <c r="E519" s="307">
        <f t="shared" ca="1" si="241"/>
        <v>-11.766466320884451</v>
      </c>
      <c r="F519" s="304">
        <f t="shared" ca="1" si="242"/>
        <v>11.783879033420741</v>
      </c>
      <c r="G519" s="306">
        <f t="shared" ca="1" si="243"/>
        <v>28.029522316627748</v>
      </c>
      <c r="H519" s="307">
        <f t="shared" ca="1" si="244"/>
        <v>84.654969230890586</v>
      </c>
      <c r="I519" s="304">
        <f t="shared" ca="1" si="245"/>
        <v>89.174648509435485</v>
      </c>
      <c r="J519" s="306">
        <f t="shared" ca="1" si="246"/>
        <v>618.65720188983801</v>
      </c>
      <c r="K519" s="307">
        <f t="shared" ca="1" si="247"/>
        <v>3490.35168913899</v>
      </c>
      <c r="L519" s="304">
        <f t="shared" ca="1" si="232"/>
        <v>3544.7555130538362</v>
      </c>
      <c r="M519" s="306">
        <f t="shared" ca="1" si="248"/>
        <v>1.2510543280967139</v>
      </c>
      <c r="N519" s="304">
        <f t="shared" ca="1" si="249"/>
        <v>71.680132941516675</v>
      </c>
      <c r="P519" s="310">
        <f t="shared" ca="1" si="250"/>
        <v>23</v>
      </c>
      <c r="Q519" s="304">
        <f t="shared" ca="1" si="251"/>
        <v>0</v>
      </c>
      <c r="R519" s="306">
        <f t="shared" ca="1" si="252"/>
        <v>0</v>
      </c>
      <c r="S519" s="307">
        <f t="shared" ca="1" si="253"/>
        <v>5.6519999999999806</v>
      </c>
      <c r="T519" s="304">
        <f t="shared" ca="1" si="233"/>
        <v>55.446119999999816</v>
      </c>
      <c r="U519" s="311">
        <f t="shared" ca="1" si="234"/>
        <v>0</v>
      </c>
      <c r="V519" s="306">
        <f t="shared" ca="1" si="235"/>
        <v>0.86096280926077695</v>
      </c>
      <c r="W519" s="304">
        <f t="shared" ca="1" si="236"/>
        <v>11.33394936590703</v>
      </c>
      <c r="Y519" s="314" t="str">
        <f t="shared" ca="1" si="254"/>
        <v/>
      </c>
      <c r="Z519" s="315" t="str">
        <f t="shared" ca="1" si="255"/>
        <v/>
      </c>
      <c r="AA519" s="316" t="str">
        <f t="shared" ca="1" si="256"/>
        <v/>
      </c>
      <c r="AC519" s="310" t="e">
        <f t="shared" ca="1" si="257"/>
        <v>#N/A</v>
      </c>
      <c r="AD519" s="323" t="e">
        <f t="shared" ca="1" si="258"/>
        <v>#N/A</v>
      </c>
      <c r="AE519" s="324">
        <f t="shared" ca="1" si="237"/>
        <v>3490.35168913899</v>
      </c>
      <c r="AG519" s="306">
        <f t="shared" ca="1" si="259"/>
        <v>-11.381893139974832</v>
      </c>
      <c r="AH519" s="304">
        <f t="shared" ca="1" si="260"/>
        <v>-2.0586004611240174</v>
      </c>
    </row>
    <row r="520" spans="1:34" x14ac:dyDescent="0.2">
      <c r="A520" s="347">
        <f t="shared" ca="1" si="238"/>
        <v>0.1</v>
      </c>
      <c r="B520" s="304">
        <f t="shared" ca="1" si="239"/>
        <v>19.599999999999937</v>
      </c>
      <c r="D520" s="306">
        <f t="shared" ca="1" si="240"/>
        <v>-0.63030885038292006</v>
      </c>
      <c r="E520" s="307">
        <f t="shared" ca="1" si="241"/>
        <v>-11.713663420745151</v>
      </c>
      <c r="F520" s="304">
        <f t="shared" ca="1" si="242"/>
        <v>11.730609531536459</v>
      </c>
      <c r="G520" s="306">
        <f t="shared" ca="1" si="243"/>
        <v>27.966491431589457</v>
      </c>
      <c r="H520" s="307">
        <f t="shared" ca="1" si="244"/>
        <v>83.483602888816066</v>
      </c>
      <c r="I520" s="304">
        <f t="shared" ca="1" si="245"/>
        <v>88.043379048573001</v>
      </c>
      <c r="J520" s="306">
        <f t="shared" ca="1" si="246"/>
        <v>621.45700257724889</v>
      </c>
      <c r="K520" s="307">
        <f t="shared" ca="1" si="247"/>
        <v>3498.7586177449753</v>
      </c>
      <c r="L520" s="304">
        <f t="shared" ca="1" si="232"/>
        <v>3553.5222908118967</v>
      </c>
      <c r="M520" s="306">
        <f t="shared" ca="1" si="248"/>
        <v>1.2475520753596079</v>
      </c>
      <c r="N520" s="304">
        <f t="shared" ca="1" si="249"/>
        <v>71.47946864089235</v>
      </c>
      <c r="P520" s="310">
        <f t="shared" ca="1" si="250"/>
        <v>23</v>
      </c>
      <c r="Q520" s="304">
        <f t="shared" ca="1" si="251"/>
        <v>0</v>
      </c>
      <c r="R520" s="306">
        <f t="shared" ca="1" si="252"/>
        <v>0</v>
      </c>
      <c r="S520" s="307">
        <f t="shared" ca="1" si="253"/>
        <v>5.6519999999999806</v>
      </c>
      <c r="T520" s="304">
        <f t="shared" ca="1" si="233"/>
        <v>55.446119999999816</v>
      </c>
      <c r="U520" s="311">
        <f t="shared" ca="1" si="234"/>
        <v>0</v>
      </c>
      <c r="V520" s="306">
        <f t="shared" ca="1" si="235"/>
        <v>0.86021653407673582</v>
      </c>
      <c r="W520" s="304">
        <f t="shared" ca="1" si="236"/>
        <v>11.038631967413606</v>
      </c>
      <c r="Y520" s="314" t="str">
        <f t="shared" ca="1" si="254"/>
        <v/>
      </c>
      <c r="Z520" s="315" t="str">
        <f t="shared" ca="1" si="255"/>
        <v/>
      </c>
      <c r="AA520" s="316" t="str">
        <f t="shared" ca="1" si="256"/>
        <v/>
      </c>
      <c r="AC520" s="310" t="e">
        <f t="shared" ca="1" si="257"/>
        <v>#N/A</v>
      </c>
      <c r="AD520" s="323" t="e">
        <f t="shared" ca="1" si="258"/>
        <v>#N/A</v>
      </c>
      <c r="AE520" s="324">
        <f t="shared" ca="1" si="237"/>
        <v>3498.7586177449753</v>
      </c>
      <c r="AG520" s="306">
        <f t="shared" ca="1" si="259"/>
        <v>-11.318094204156843</v>
      </c>
      <c r="AH520" s="304">
        <f t="shared" ca="1" si="260"/>
        <v>-2.0052988970111585</v>
      </c>
    </row>
    <row r="521" spans="1:34" x14ac:dyDescent="0.2">
      <c r="A521" s="347">
        <f t="shared" ca="1" si="238"/>
        <v>0.1</v>
      </c>
      <c r="B521" s="304">
        <f t="shared" ca="1" si="239"/>
        <v>19.699999999999939</v>
      </c>
      <c r="D521" s="306">
        <f t="shared" ca="1" si="240"/>
        <v>-0.62037513623632012</v>
      </c>
      <c r="E521" s="307">
        <f t="shared" ca="1" si="241"/>
        <v>-11.661900215739884</v>
      </c>
      <c r="F521" s="304">
        <f t="shared" ca="1" si="242"/>
        <v>11.678389527307871</v>
      </c>
      <c r="G521" s="306">
        <f t="shared" ca="1" si="243"/>
        <v>27.904453917965824</v>
      </c>
      <c r="H521" s="307">
        <f t="shared" ca="1" si="244"/>
        <v>82.317412867242084</v>
      </c>
      <c r="I521" s="304">
        <f t="shared" ca="1" si="245"/>
        <v>86.918438835588105</v>
      </c>
      <c r="J521" s="306">
        <f t="shared" ca="1" si="246"/>
        <v>624.25054984472661</v>
      </c>
      <c r="K521" s="307">
        <f t="shared" ca="1" si="247"/>
        <v>3507.0486685327783</v>
      </c>
      <c r="L521" s="304">
        <f t="shared" ca="1" si="232"/>
        <v>3562.1733692282546</v>
      </c>
      <c r="M521" s="306">
        <f t="shared" ca="1" si="248"/>
        <v>1.2439669916290372</v>
      </c>
      <c r="N521" s="304">
        <f t="shared" ca="1" si="249"/>
        <v>71.274058473929642</v>
      </c>
      <c r="P521" s="310">
        <f t="shared" ca="1" si="250"/>
        <v>23</v>
      </c>
      <c r="Q521" s="304">
        <f t="shared" ca="1" si="251"/>
        <v>0</v>
      </c>
      <c r="R521" s="306">
        <f t="shared" ca="1" si="252"/>
        <v>0</v>
      </c>
      <c r="S521" s="307">
        <f t="shared" ca="1" si="253"/>
        <v>5.6519999999999806</v>
      </c>
      <c r="T521" s="304">
        <f t="shared" ca="1" si="233"/>
        <v>55.446119999999816</v>
      </c>
      <c r="U521" s="311">
        <f t="shared" ca="1" si="234"/>
        <v>0</v>
      </c>
      <c r="V521" s="306">
        <f t="shared" ca="1" si="235"/>
        <v>0.8594811567346109</v>
      </c>
      <c r="W521" s="304">
        <f t="shared" ca="1" si="236"/>
        <v>10.749153335113521</v>
      </c>
      <c r="Y521" s="314" t="str">
        <f t="shared" ca="1" si="254"/>
        <v/>
      </c>
      <c r="Z521" s="315" t="str">
        <f t="shared" ca="1" si="255"/>
        <v/>
      </c>
      <c r="AA521" s="316" t="str">
        <f t="shared" ca="1" si="256"/>
        <v/>
      </c>
      <c r="AC521" s="310" t="e">
        <f t="shared" ca="1" si="257"/>
        <v>#N/A</v>
      </c>
      <c r="AD521" s="323" t="e">
        <f t="shared" ca="1" si="258"/>
        <v>#N/A</v>
      </c>
      <c r="AE521" s="324">
        <f t="shared" ca="1" si="237"/>
        <v>3507.0486685327783</v>
      </c>
      <c r="AG521" s="306">
        <f t="shared" ca="1" si="259"/>
        <v>-11.254987861438876</v>
      </c>
      <c r="AH521" s="304">
        <f t="shared" ca="1" si="260"/>
        <v>-1.9530488265063064</v>
      </c>
    </row>
    <row r="522" spans="1:34" x14ac:dyDescent="0.2">
      <c r="A522" s="347">
        <f t="shared" ca="1" si="238"/>
        <v>0.1</v>
      </c>
      <c r="B522" s="304">
        <f t="shared" ca="1" si="239"/>
        <v>19.79999999999994</v>
      </c>
      <c r="D522" s="306">
        <f t="shared" ca="1" si="240"/>
        <v>-0.61056754517507084</v>
      </c>
      <c r="E522" s="307">
        <f t="shared" ca="1" si="241"/>
        <v>-11.611158368741826</v>
      </c>
      <c r="F522" s="304">
        <f t="shared" ca="1" si="242"/>
        <v>11.627200496732842</v>
      </c>
      <c r="G522" s="306">
        <f t="shared" ca="1" si="243"/>
        <v>27.843397163448316</v>
      </c>
      <c r="H522" s="307">
        <f t="shared" ca="1" si="244"/>
        <v>81.156297030367895</v>
      </c>
      <c r="I522" s="304">
        <f t="shared" ca="1" si="245"/>
        <v>85.799762897590938</v>
      </c>
      <c r="J522" s="306">
        <f t="shared" ca="1" si="246"/>
        <v>627.03794239879733</v>
      </c>
      <c r="K522" s="307">
        <f t="shared" ca="1" si="247"/>
        <v>3515.2223540276586</v>
      </c>
      <c r="L522" s="304">
        <f t="shared" ca="1" si="232"/>
        <v>3570.7092824064339</v>
      </c>
      <c r="M522" s="306">
        <f t="shared" ca="1" si="248"/>
        <v>1.2402963202493635</v>
      </c>
      <c r="N522" s="304">
        <f t="shared" ca="1" si="249"/>
        <v>71.063744495894881</v>
      </c>
      <c r="P522" s="310">
        <f t="shared" ca="1" si="250"/>
        <v>23</v>
      </c>
      <c r="Q522" s="304">
        <f t="shared" ca="1" si="251"/>
        <v>0</v>
      </c>
      <c r="R522" s="306">
        <f t="shared" ca="1" si="252"/>
        <v>0</v>
      </c>
      <c r="S522" s="307">
        <f t="shared" ca="1" si="253"/>
        <v>5.6519999999999806</v>
      </c>
      <c r="T522" s="304">
        <f t="shared" ca="1" si="233"/>
        <v>55.446119999999816</v>
      </c>
      <c r="U522" s="311">
        <f t="shared" ca="1" si="234"/>
        <v>0</v>
      </c>
      <c r="V522" s="306">
        <f t="shared" ca="1" si="235"/>
        <v>0.85875660932703646</v>
      </c>
      <c r="W522" s="304">
        <f t="shared" ca="1" si="236"/>
        <v>10.465412041083344</v>
      </c>
      <c r="Y522" s="314" t="str">
        <f t="shared" ca="1" si="254"/>
        <v/>
      </c>
      <c r="Z522" s="315" t="str">
        <f t="shared" ca="1" si="255"/>
        <v/>
      </c>
      <c r="AA522" s="316" t="str">
        <f t="shared" ca="1" si="256"/>
        <v/>
      </c>
      <c r="AC522" s="310" t="e">
        <f t="shared" ca="1" si="257"/>
        <v>#N/A</v>
      </c>
      <c r="AD522" s="323" t="e">
        <f t="shared" ca="1" si="258"/>
        <v>#N/A</v>
      </c>
      <c r="AE522" s="324">
        <f t="shared" ca="1" si="237"/>
        <v>3515.2223540276586</v>
      </c>
      <c r="AG522" s="306">
        <f t="shared" ca="1" si="259"/>
        <v>-11.192539629882033</v>
      </c>
      <c r="AH522" s="304">
        <f t="shared" ca="1" si="260"/>
        <v>-1.9018318002677914</v>
      </c>
    </row>
    <row r="523" spans="1:34" x14ac:dyDescent="0.2">
      <c r="A523" s="347">
        <f t="shared" ca="1" si="238"/>
        <v>0.1</v>
      </c>
      <c r="B523" s="304">
        <f t="shared" ca="1" si="239"/>
        <v>19.899999999999942</v>
      </c>
      <c r="D523" s="306">
        <f t="shared" ca="1" si="240"/>
        <v>-0.60088354800815946</v>
      </c>
      <c r="E523" s="307">
        <f t="shared" ca="1" si="241"/>
        <v>-11.561420037452502</v>
      </c>
      <c r="F523" s="304">
        <f t="shared" ca="1" si="242"/>
        <v>11.577024415655133</v>
      </c>
      <c r="G523" s="306">
        <f t="shared" ca="1" si="243"/>
        <v>27.783308808647501</v>
      </c>
      <c r="H523" s="307">
        <f t="shared" ca="1" si="244"/>
        <v>80.00015502662265</v>
      </c>
      <c r="I523" s="304">
        <f t="shared" ca="1" si="245"/>
        <v>84.687289793925558</v>
      </c>
      <c r="J523" s="306">
        <f t="shared" ca="1" si="246"/>
        <v>629.81927769740207</v>
      </c>
      <c r="K523" s="307">
        <f t="shared" ca="1" si="247"/>
        <v>3523.2801766305083</v>
      </c>
      <c r="L523" s="304">
        <f t="shared" ca="1" si="232"/>
        <v>3579.1305544219508</v>
      </c>
      <c r="M523" s="306">
        <f t="shared" ca="1" si="248"/>
        <v>1.2365371851832607</v>
      </c>
      <c r="N523" s="304">
        <f t="shared" ca="1" si="249"/>
        <v>70.848361921987546</v>
      </c>
      <c r="P523" s="310">
        <f t="shared" ca="1" si="250"/>
        <v>23</v>
      </c>
      <c r="Q523" s="304">
        <f t="shared" ca="1" si="251"/>
        <v>0</v>
      </c>
      <c r="R523" s="306">
        <f t="shared" ca="1" si="252"/>
        <v>0</v>
      </c>
      <c r="S523" s="307">
        <f t="shared" ca="1" si="253"/>
        <v>5.6519999999999806</v>
      </c>
      <c r="T523" s="304">
        <f t="shared" ca="1" si="233"/>
        <v>55.446119999999816</v>
      </c>
      <c r="U523" s="311">
        <f t="shared" ca="1" si="234"/>
        <v>0</v>
      </c>
      <c r="V523" s="306">
        <f t="shared" ca="1" si="235"/>
        <v>0.85804282532330045</v>
      </c>
      <c r="W523" s="304">
        <f t="shared" ca="1" si="236"/>
        <v>10.187309422233399</v>
      </c>
      <c r="Y523" s="314" t="str">
        <f t="shared" ca="1" si="254"/>
        <v/>
      </c>
      <c r="Z523" s="315" t="str">
        <f t="shared" ca="1" si="255"/>
        <v/>
      </c>
      <c r="AA523" s="316" t="str">
        <f t="shared" ca="1" si="256"/>
        <v/>
      </c>
      <c r="AC523" s="310" t="e">
        <f t="shared" ca="1" si="257"/>
        <v>#N/A</v>
      </c>
      <c r="AD523" s="323" t="e">
        <f t="shared" ca="1" si="258"/>
        <v>#N/A</v>
      </c>
      <c r="AE523" s="324">
        <f t="shared" ca="1" si="237"/>
        <v>3523.2801766305083</v>
      </c>
      <c r="AG523" s="306">
        <f t="shared" ca="1" si="259"/>
        <v>-11.130714650906455</v>
      </c>
      <c r="AH523" s="304">
        <f t="shared" ca="1" si="260"/>
        <v>-1.8516298728031457</v>
      </c>
    </row>
    <row r="524" spans="1:34" x14ac:dyDescent="0.2">
      <c r="A524" s="347">
        <f t="shared" ca="1" si="238"/>
        <v>0.1</v>
      </c>
      <c r="B524" s="304">
        <f t="shared" ca="1" si="239"/>
        <v>19.999999999999943</v>
      </c>
      <c r="D524" s="306">
        <f t="shared" ca="1" si="240"/>
        <v>-0.59132069088822714</v>
      </c>
      <c r="E524" s="307">
        <f t="shared" ca="1" si="241"/>
        <v>-11.512667859588559</v>
      </c>
      <c r="F524" s="304">
        <f t="shared" ca="1" si="242"/>
        <v>11.527843744806569</v>
      </c>
      <c r="G524" s="306">
        <f t="shared" ca="1" si="243"/>
        <v>27.724176739558679</v>
      </c>
      <c r="H524" s="307">
        <f t="shared" ca="1" si="244"/>
        <v>78.848888240663797</v>
      </c>
      <c r="I524" s="304">
        <f t="shared" ca="1" si="245"/>
        <v>83.5809616639757</v>
      </c>
      <c r="J524" s="306">
        <f t="shared" ca="1" si="246"/>
        <v>632.59465197481234</v>
      </c>
      <c r="K524" s="307">
        <f t="shared" ca="1" si="247"/>
        <v>3531.2226287938724</v>
      </c>
      <c r="L524" s="304">
        <f t="shared" ca="1" si="232"/>
        <v>3587.4376995026741</v>
      </c>
      <c r="M524" s="306">
        <f t="shared" ca="1" si="248"/>
        <v>1.2326865848118307</v>
      </c>
      <c r="N524" s="304">
        <f t="shared" ca="1" si="249"/>
        <v>70.627738772113105</v>
      </c>
      <c r="P524" s="310">
        <f t="shared" ca="1" si="250"/>
        <v>23</v>
      </c>
      <c r="Q524" s="304">
        <f t="shared" ca="1" si="251"/>
        <v>0</v>
      </c>
      <c r="R524" s="306">
        <f t="shared" ca="1" si="252"/>
        <v>0</v>
      </c>
      <c r="S524" s="307">
        <f t="shared" ca="1" si="253"/>
        <v>5.6519999999999806</v>
      </c>
      <c r="T524" s="304">
        <f t="shared" ca="1" si="233"/>
        <v>55.446119999999816</v>
      </c>
      <c r="U524" s="311">
        <f t="shared" ca="1" si="234"/>
        <v>0</v>
      </c>
      <c r="V524" s="306">
        <f t="shared" ca="1" si="235"/>
        <v>0.85733973954423337</v>
      </c>
      <c r="W524" s="304">
        <f t="shared" ca="1" si="236"/>
        <v>9.914749500385426</v>
      </c>
      <c r="Y524" s="314" t="str">
        <f t="shared" ca="1" si="254"/>
        <v/>
      </c>
      <c r="Z524" s="315" t="str">
        <f t="shared" ca="1" si="255"/>
        <v/>
      </c>
      <c r="AA524" s="316" t="str">
        <f t="shared" ca="1" si="256"/>
        <v/>
      </c>
      <c r="AC524" s="310">
        <f t="shared" ca="1" si="257"/>
        <v>19.999999999999943</v>
      </c>
      <c r="AD524" s="323">
        <f t="shared" ca="1" si="258"/>
        <v>632.59465197481234</v>
      </c>
      <c r="AE524" s="324">
        <f t="shared" ca="1" si="237"/>
        <v>3531.2226287938724</v>
      </c>
      <c r="AG524" s="306">
        <f t="shared" ca="1" si="259"/>
        <v>-11.06947761792977</v>
      </c>
      <c r="AH524" s="304">
        <f t="shared" ca="1" si="260"/>
        <v>-1.8024255877978475</v>
      </c>
    </row>
    <row r="525" spans="1:34" x14ac:dyDescent="0.2">
      <c r="A525" s="347">
        <f t="shared" ca="1" si="238"/>
        <v>0.1</v>
      </c>
      <c r="B525" s="304">
        <f t="shared" ca="1" si="239"/>
        <v>20.099999999999945</v>
      </c>
      <c r="D525" s="306">
        <f t="shared" ca="1" si="240"/>
        <v>-0.58187659387842938</v>
      </c>
      <c r="E525" s="307">
        <f t="shared" ca="1" si="241"/>
        <v>-11.464884938571082</v>
      </c>
      <c r="F525" s="304">
        <f t="shared" ca="1" si="242"/>
        <v>11.479641415356911</v>
      </c>
      <c r="G525" s="306">
        <f t="shared" ca="1" si="243"/>
        <v>27.665989080170835</v>
      </c>
      <c r="H525" s="307">
        <f t="shared" ca="1" si="244"/>
        <v>77.702399746806691</v>
      </c>
      <c r="I525" s="304">
        <f t="shared" ca="1" si="245"/>
        <v>82.480724282687262</v>
      </c>
      <c r="J525" s="306">
        <f t="shared" ca="1" si="246"/>
        <v>635.36416026579877</v>
      </c>
      <c r="K525" s="307">
        <f t="shared" ca="1" si="247"/>
        <v>3539.0501931932458</v>
      </c>
      <c r="L525" s="304">
        <f t="shared" ca="1" si="232"/>
        <v>3595.6312222044426</v>
      </c>
      <c r="M525" s="306">
        <f t="shared" ca="1" si="248"/>
        <v>1.2287413853691951</v>
      </c>
      <c r="N525" s="304">
        <f t="shared" ca="1" si="249"/>
        <v>70.401695494712726</v>
      </c>
      <c r="P525" s="310">
        <f t="shared" ca="1" si="250"/>
        <v>23</v>
      </c>
      <c r="Q525" s="304">
        <f t="shared" ca="1" si="251"/>
        <v>0</v>
      </c>
      <c r="R525" s="306">
        <f t="shared" ca="1" si="252"/>
        <v>0</v>
      </c>
      <c r="S525" s="307">
        <f t="shared" ca="1" si="253"/>
        <v>5.6519999999999806</v>
      </c>
      <c r="T525" s="304">
        <f t="shared" ca="1" si="233"/>
        <v>55.446119999999816</v>
      </c>
      <c r="U525" s="311">
        <f t="shared" ca="1" si="234"/>
        <v>0</v>
      </c>
      <c r="V525" s="306">
        <f t="shared" ca="1" si="235"/>
        <v>0.85664728813778834</v>
      </c>
      <c r="W525" s="304">
        <f t="shared" ca="1" si="236"/>
        <v>9.6476389052296199</v>
      </c>
      <c r="Y525" s="314" t="str">
        <f t="shared" ca="1" si="254"/>
        <v/>
      </c>
      <c r="Z525" s="315" t="str">
        <f t="shared" ca="1" si="255"/>
        <v/>
      </c>
      <c r="AA525" s="316" t="str">
        <f t="shared" ca="1" si="256"/>
        <v/>
      </c>
      <c r="AC525" s="310" t="e">
        <f t="shared" ca="1" si="257"/>
        <v>#N/A</v>
      </c>
      <c r="AD525" s="323" t="e">
        <f t="shared" ca="1" si="258"/>
        <v>#N/A</v>
      </c>
      <c r="AE525" s="324">
        <f t="shared" ca="1" si="237"/>
        <v>3539.0501931932458</v>
      </c>
      <c r="AG525" s="306">
        <f t="shared" ca="1" si="259"/>
        <v>-11.008792701404667</v>
      </c>
      <c r="AH525" s="304">
        <f t="shared" ca="1" si="260"/>
        <v>-1.7542019639747806</v>
      </c>
    </row>
    <row r="526" spans="1:34" x14ac:dyDescent="0.2">
      <c r="A526" s="347">
        <f t="shared" ca="1" si="238"/>
        <v>0.1</v>
      </c>
      <c r="B526" s="304">
        <f t="shared" ca="1" si="239"/>
        <v>20.199999999999946</v>
      </c>
      <c r="D526" s="306">
        <f t="shared" ca="1" si="240"/>
        <v>-0.57254894962835889</v>
      </c>
      <c r="E526" s="307">
        <f t="shared" ca="1" si="241"/>
        <v>-11.418054829694249</v>
      </c>
      <c r="F526" s="304">
        <f t="shared" ca="1" si="242"/>
        <v>11.432400814948043</v>
      </c>
      <c r="G526" s="306">
        <f t="shared" ca="1" si="243"/>
        <v>27.608734185208</v>
      </c>
      <c r="H526" s="307">
        <f t="shared" ca="1" si="244"/>
        <v>76.56059426383726</v>
      </c>
      <c r="I526" s="304">
        <f t="shared" ca="1" si="245"/>
        <v>81.38652712421991</v>
      </c>
      <c r="J526" s="306">
        <f t="shared" ca="1" si="246"/>
        <v>638.12789642906773</v>
      </c>
      <c r="K526" s="307">
        <f t="shared" ca="1" si="247"/>
        <v>3546.7633428937779</v>
      </c>
      <c r="L526" s="304">
        <f t="shared" ca="1" si="232"/>
        <v>3603.7116175820775</v>
      </c>
      <c r="M526" s="306">
        <f t="shared" ca="1" si="248"/>
        <v>1.2246983139885308</v>
      </c>
      <c r="N526" s="304">
        <f t="shared" ca="1" si="249"/>
        <v>70.170044568330525</v>
      </c>
      <c r="P526" s="310">
        <f t="shared" ca="1" si="250"/>
        <v>23</v>
      </c>
      <c r="Q526" s="304">
        <f t="shared" ca="1" si="251"/>
        <v>0</v>
      </c>
      <c r="R526" s="306">
        <f t="shared" ca="1" si="252"/>
        <v>0</v>
      </c>
      <c r="S526" s="307">
        <f t="shared" ca="1" si="253"/>
        <v>5.6519999999999806</v>
      </c>
      <c r="T526" s="304">
        <f t="shared" ca="1" si="233"/>
        <v>55.446119999999816</v>
      </c>
      <c r="U526" s="311">
        <f t="shared" ca="1" si="234"/>
        <v>0</v>
      </c>
      <c r="V526" s="306">
        <f t="shared" ca="1" si="235"/>
        <v>0.8559654085553039</v>
      </c>
      <c r="W526" s="304">
        <f t="shared" ca="1" si="236"/>
        <v>9.3858868000464319</v>
      </c>
      <c r="Y526" s="314" t="str">
        <f t="shared" ca="1" si="254"/>
        <v/>
      </c>
      <c r="Z526" s="315" t="str">
        <f t="shared" ca="1" si="255"/>
        <v/>
      </c>
      <c r="AA526" s="316" t="str">
        <f t="shared" ca="1" si="256"/>
        <v/>
      </c>
      <c r="AC526" s="310" t="e">
        <f t="shared" ca="1" si="257"/>
        <v>#N/A</v>
      </c>
      <c r="AD526" s="323" t="e">
        <f t="shared" ca="1" si="258"/>
        <v>#N/A</v>
      </c>
      <c r="AE526" s="324">
        <f t="shared" ca="1" si="237"/>
        <v>3546.7633428937779</v>
      </c>
      <c r="AG526" s="306">
        <f t="shared" ca="1" si="259"/>
        <v>-10.948623469904367</v>
      </c>
      <c r="AH526" s="304">
        <f t="shared" ca="1" si="260"/>
        <v>-1.7069424814631375</v>
      </c>
    </row>
    <row r="527" spans="1:34" x14ac:dyDescent="0.2">
      <c r="A527" s="347">
        <f t="shared" ca="1" si="238"/>
        <v>0.1</v>
      </c>
      <c r="B527" s="304">
        <f t="shared" ca="1" si="239"/>
        <v>20.299999999999947</v>
      </c>
      <c r="D527" s="306">
        <f t="shared" ca="1" si="240"/>
        <v>-0.56333552215905913</v>
      </c>
      <c r="E527" s="307">
        <f t="shared" ca="1" si="241"/>
        <v>-11.372161526750984</v>
      </c>
      <c r="F527" s="304">
        <f t="shared" ca="1" si="242"/>
        <v>11.386105774189941</v>
      </c>
      <c r="G527" s="306">
        <f t="shared" ca="1" si="243"/>
        <v>27.552400632992093</v>
      </c>
      <c r="H527" s="307">
        <f t="shared" ca="1" si="244"/>
        <v>75.423378111162165</v>
      </c>
      <c r="I527" s="304">
        <f t="shared" ca="1" si="245"/>
        <v>80.298323434180361</v>
      </c>
      <c r="J527" s="306">
        <f t="shared" ca="1" si="246"/>
        <v>640.88595316997771</v>
      </c>
      <c r="K527" s="307">
        <f t="shared" ca="1" si="247"/>
        <v>3554.362541512528</v>
      </c>
      <c r="L527" s="304">
        <f t="shared" ca="1" si="232"/>
        <v>3611.6793713559332</v>
      </c>
      <c r="M527" s="306">
        <f t="shared" ca="1" si="248"/>
        <v>1.2205539513351258</v>
      </c>
      <c r="N527" s="304">
        <f t="shared" ca="1" si="249"/>
        <v>69.932590079518775</v>
      </c>
      <c r="P527" s="310">
        <f t="shared" ca="1" si="250"/>
        <v>23</v>
      </c>
      <c r="Q527" s="304">
        <f t="shared" ca="1" si="251"/>
        <v>0</v>
      </c>
      <c r="R527" s="306">
        <f t="shared" ca="1" si="252"/>
        <v>0</v>
      </c>
      <c r="S527" s="307">
        <f t="shared" ca="1" si="253"/>
        <v>5.6519999999999806</v>
      </c>
      <c r="T527" s="304">
        <f t="shared" ca="1" si="233"/>
        <v>55.446119999999816</v>
      </c>
      <c r="U527" s="311">
        <f t="shared" ca="1" si="234"/>
        <v>0</v>
      </c>
      <c r="V527" s="306">
        <f t="shared" ca="1" si="235"/>
        <v>0.85529403952842009</v>
      </c>
      <c r="W527" s="304">
        <f t="shared" ca="1" si="236"/>
        <v>9.1294048100836367</v>
      </c>
      <c r="Y527" s="314" t="str">
        <f t="shared" ca="1" si="254"/>
        <v/>
      </c>
      <c r="Z527" s="315" t="str">
        <f t="shared" ca="1" si="255"/>
        <v/>
      </c>
      <c r="AA527" s="316" t="str">
        <f t="shared" ca="1" si="256"/>
        <v/>
      </c>
      <c r="AC527" s="310" t="e">
        <f t="shared" ca="1" si="257"/>
        <v>#N/A</v>
      </c>
      <c r="AD527" s="323" t="e">
        <f t="shared" ca="1" si="258"/>
        <v>#N/A</v>
      </c>
      <c r="AE527" s="324">
        <f t="shared" ca="1" si="237"/>
        <v>3554.362541512528</v>
      </c>
      <c r="AG527" s="306">
        <f t="shared" ca="1" si="259"/>
        <v>-10.888932806877909</v>
      </c>
      <c r="AH527" s="304">
        <f t="shared" ca="1" si="260"/>
        <v>-1.6606310686564869</v>
      </c>
    </row>
    <row r="528" spans="1:34" x14ac:dyDescent="0.2">
      <c r="A528" s="347">
        <f t="shared" ca="1" si="238"/>
        <v>0.1</v>
      </c>
      <c r="B528" s="304">
        <f t="shared" ca="1" si="239"/>
        <v>20.399999999999949</v>
      </c>
      <c r="D528" s="306">
        <f t="shared" ca="1" si="240"/>
        <v>-0.55423414575748486</v>
      </c>
      <c r="E528" s="307">
        <f t="shared" ca="1" si="241"/>
        <v>-11.327189449093902</v>
      </c>
      <c r="F528" s="304">
        <f t="shared" ca="1" si="242"/>
        <v>11.340740553596479</v>
      </c>
      <c r="G528" s="306">
        <f t="shared" ca="1" si="243"/>
        <v>27.496977218416344</v>
      </c>
      <c r="H528" s="307">
        <f t="shared" ca="1" si="244"/>
        <v>74.29065916625278</v>
      </c>
      <c r="I528" s="304">
        <f t="shared" ca="1" si="245"/>
        <v>79.216070310931514</v>
      </c>
      <c r="J528" s="306">
        <f t="shared" ca="1" si="246"/>
        <v>643.6384220625481</v>
      </c>
      <c r="K528" s="307">
        <f t="shared" ca="1" si="247"/>
        <v>3561.8482433763988</v>
      </c>
      <c r="L528" s="304">
        <f t="shared" ca="1" si="232"/>
        <v>3619.534960074112</v>
      </c>
      <c r="M528" s="306">
        <f t="shared" ca="1" si="248"/>
        <v>1.2163047238005553</v>
      </c>
      <c r="N528" s="304">
        <f t="shared" ca="1" si="249"/>
        <v>69.689127275597116</v>
      </c>
      <c r="P528" s="310">
        <f t="shared" ca="1" si="250"/>
        <v>23</v>
      </c>
      <c r="Q528" s="304">
        <f t="shared" ca="1" si="251"/>
        <v>0</v>
      </c>
      <c r="R528" s="306">
        <f t="shared" ca="1" si="252"/>
        <v>0</v>
      </c>
      <c r="S528" s="307">
        <f t="shared" ca="1" si="253"/>
        <v>5.6519999999999806</v>
      </c>
      <c r="T528" s="304">
        <f t="shared" ca="1" si="233"/>
        <v>55.446119999999816</v>
      </c>
      <c r="U528" s="311">
        <f t="shared" ca="1" si="234"/>
        <v>0</v>
      </c>
      <c r="V528" s="306">
        <f t="shared" ca="1" si="235"/>
        <v>0.85463312104663347</v>
      </c>
      <c r="W528" s="304">
        <f t="shared" ca="1" si="236"/>
        <v>8.8781069534839627</v>
      </c>
      <c r="Y528" s="314" t="str">
        <f t="shared" ca="1" si="254"/>
        <v/>
      </c>
      <c r="Z528" s="315" t="str">
        <f t="shared" ca="1" si="255"/>
        <v/>
      </c>
      <c r="AA528" s="316" t="str">
        <f t="shared" ca="1" si="256"/>
        <v/>
      </c>
      <c r="AC528" s="310" t="e">
        <f t="shared" ca="1" si="257"/>
        <v>#N/A</v>
      </c>
      <c r="AD528" s="323" t="e">
        <f t="shared" ca="1" si="258"/>
        <v>#N/A</v>
      </c>
      <c r="AE528" s="324">
        <f t="shared" ca="1" si="237"/>
        <v>3561.8482433763988</v>
      </c>
      <c r="AG528" s="306">
        <f t="shared" ca="1" si="259"/>
        <v>-10.829682822667852</v>
      </c>
      <c r="AH528" s="304">
        <f t="shared" ca="1" si="260"/>
        <v>-1.6152520895406348</v>
      </c>
    </row>
    <row r="529" spans="1:34" x14ac:dyDescent="0.2">
      <c r="A529" s="347">
        <f t="shared" ca="1" si="238"/>
        <v>0.1</v>
      </c>
      <c r="B529" s="304">
        <f t="shared" ca="1" si="239"/>
        <v>20.49999999999995</v>
      </c>
      <c r="D529" s="306">
        <f t="shared" ca="1" si="240"/>
        <v>-0.54524272398115403</v>
      </c>
      <c r="E529" s="307">
        <f t="shared" ca="1" si="241"/>
        <v>-11.283123429110368</v>
      </c>
      <c r="F529" s="304">
        <f t="shared" ca="1" si="242"/>
        <v>11.29628983093979</v>
      </c>
      <c r="G529" s="306">
        <f t="shared" ca="1" si="243"/>
        <v>27.442452946018228</v>
      </c>
      <c r="H529" s="307">
        <f t="shared" ca="1" si="244"/>
        <v>73.16234682334175</v>
      </c>
      <c r="I529" s="304">
        <f t="shared" ca="1" si="245"/>
        <v>78.1397287965179</v>
      </c>
      <c r="J529" s="306">
        <f t="shared" ca="1" si="246"/>
        <v>646.38539357076979</v>
      </c>
      <c r="K529" s="307">
        <f t="shared" ca="1" si="247"/>
        <v>3569.2208936758784</v>
      </c>
      <c r="L529" s="304">
        <f t="shared" ca="1" si="232"/>
        <v>3627.2788512704778</v>
      </c>
      <c r="M529" s="306">
        <f t="shared" ca="1" si="248"/>
        <v>1.2119468952305714</v>
      </c>
      <c r="N529" s="304">
        <f t="shared" ca="1" si="249"/>
        <v>69.439442090695508</v>
      </c>
      <c r="P529" s="310">
        <f t="shared" ca="1" si="250"/>
        <v>23</v>
      </c>
      <c r="Q529" s="304">
        <f t="shared" ca="1" si="251"/>
        <v>0</v>
      </c>
      <c r="R529" s="306">
        <f t="shared" ca="1" si="252"/>
        <v>0</v>
      </c>
      <c r="S529" s="307">
        <f t="shared" ca="1" si="253"/>
        <v>5.6519999999999806</v>
      </c>
      <c r="T529" s="304">
        <f t="shared" ca="1" si="233"/>
        <v>55.446119999999816</v>
      </c>
      <c r="U529" s="311">
        <f t="shared" ca="1" si="234"/>
        <v>0</v>
      </c>
      <c r="V529" s="306">
        <f t="shared" ca="1" si="235"/>
        <v>0.85398259433546808</v>
      </c>
      <c r="W529" s="304">
        <f t="shared" ca="1" si="236"/>
        <v>8.6319095746634531</v>
      </c>
      <c r="Y529" s="314" t="str">
        <f t="shared" ca="1" si="254"/>
        <v/>
      </c>
      <c r="Z529" s="315" t="str">
        <f t="shared" ca="1" si="255"/>
        <v/>
      </c>
      <c r="AA529" s="316" t="str">
        <f t="shared" ca="1" si="256"/>
        <v/>
      </c>
      <c r="AC529" s="310" t="e">
        <f t="shared" ca="1" si="257"/>
        <v>#N/A</v>
      </c>
      <c r="AD529" s="323" t="e">
        <f t="shared" ca="1" si="258"/>
        <v>#N/A</v>
      </c>
      <c r="AE529" s="324">
        <f t="shared" ca="1" si="237"/>
        <v>3569.2208936758784</v>
      </c>
      <c r="AG529" s="306">
        <f t="shared" ca="1" si="259"/>
        <v>-10.770834761351134</v>
      </c>
      <c r="AH529" s="304">
        <f t="shared" ca="1" si="260"/>
        <v>-1.5707903314727518</v>
      </c>
    </row>
    <row r="530" spans="1:34" x14ac:dyDescent="0.2">
      <c r="A530" s="347">
        <f t="shared" ca="1" si="238"/>
        <v>0.1</v>
      </c>
      <c r="B530" s="304">
        <f t="shared" ca="1" si="239"/>
        <v>20.599999999999952</v>
      </c>
      <c r="D530" s="306">
        <f t="shared" ca="1" si="240"/>
        <v>-0.53635922877410935</v>
      </c>
      <c r="E530" s="307">
        <f t="shared" ca="1" si="241"/>
        <v>-11.239948700091157</v>
      </c>
      <c r="F530" s="304">
        <f t="shared" ca="1" si="242"/>
        <v>11.252738689002426</v>
      </c>
      <c r="G530" s="306">
        <f t="shared" ca="1" si="243"/>
        <v>27.388817023140817</v>
      </c>
      <c r="H530" s="307">
        <f t="shared" ca="1" si="244"/>
        <v>72.038351953332636</v>
      </c>
      <c r="I530" s="304">
        <f t="shared" ca="1" si="245"/>
        <v>77.069263977796709</v>
      </c>
      <c r="J530" s="306">
        <f t="shared" ca="1" si="246"/>
        <v>649.12695706922773</v>
      </c>
      <c r="K530" s="307">
        <f t="shared" ca="1" si="247"/>
        <v>3576.480928614712</v>
      </c>
      <c r="L530" s="304">
        <f t="shared" ca="1" si="232"/>
        <v>3634.9115036185831</v>
      </c>
      <c r="M530" s="306">
        <f t="shared" ca="1" si="248"/>
        <v>1.2074765581577176</v>
      </c>
      <c r="N530" s="304">
        <f t="shared" ca="1" si="249"/>
        <v>69.183310643420114</v>
      </c>
      <c r="P530" s="310">
        <f t="shared" ca="1" si="250"/>
        <v>23</v>
      </c>
      <c r="Q530" s="304">
        <f t="shared" ca="1" si="251"/>
        <v>0</v>
      </c>
      <c r="R530" s="306">
        <f t="shared" ca="1" si="252"/>
        <v>0</v>
      </c>
      <c r="S530" s="307">
        <f t="shared" ca="1" si="253"/>
        <v>5.6519999999999806</v>
      </c>
      <c r="T530" s="304">
        <f t="shared" ca="1" si="233"/>
        <v>55.446119999999816</v>
      </c>
      <c r="U530" s="311">
        <f t="shared" ca="1" si="234"/>
        <v>0</v>
      </c>
      <c r="V530" s="306">
        <f t="shared" ca="1" si="235"/>
        <v>0.85334240183524723</v>
      </c>
      <c r="W530" s="304">
        <f t="shared" ca="1" si="236"/>
        <v>8.3907312800449674</v>
      </c>
      <c r="Y530" s="314" t="str">
        <f t="shared" ca="1" si="254"/>
        <v/>
      </c>
      <c r="Z530" s="315" t="str">
        <f t="shared" ca="1" si="255"/>
        <v/>
      </c>
      <c r="AA530" s="316" t="str">
        <f t="shared" ca="1" si="256"/>
        <v/>
      </c>
      <c r="AC530" s="310" t="e">
        <f t="shared" ca="1" si="257"/>
        <v>#N/A</v>
      </c>
      <c r="AD530" s="323" t="e">
        <f t="shared" ca="1" si="258"/>
        <v>#N/A</v>
      </c>
      <c r="AE530" s="324">
        <f t="shared" ca="1" si="237"/>
        <v>3576.480928614712</v>
      </c>
      <c r="AG530" s="306">
        <f t="shared" ca="1" si="259"/>
        <v>-10.712348901929337</v>
      </c>
      <c r="AH530" s="304">
        <f t="shared" ca="1" si="260"/>
        <v>-1.5272309933941053</v>
      </c>
    </row>
    <row r="531" spans="1:34" x14ac:dyDescent="0.2">
      <c r="A531" s="347">
        <f t="shared" ca="1" si="238"/>
        <v>0.1</v>
      </c>
      <c r="B531" s="304">
        <f t="shared" ca="1" si="239"/>
        <v>20.699999999999953</v>
      </c>
      <c r="D531" s="306">
        <f t="shared" ca="1" si="240"/>
        <v>-0.52758169969572222</v>
      </c>
      <c r="E531" s="307">
        <f t="shared" ca="1" si="241"/>
        <v>-11.197650884472539</v>
      </c>
      <c r="F531" s="304">
        <f t="shared" ca="1" si="242"/>
        <v>11.21007260370701</v>
      </c>
      <c r="G531" s="306">
        <f t="shared" ca="1" si="243"/>
        <v>27.336058853171245</v>
      </c>
      <c r="H531" s="307">
        <f t="shared" ca="1" si="244"/>
        <v>70.918586864885384</v>
      </c>
      <c r="I531" s="304">
        <f t="shared" ca="1" si="245"/>
        <v>76.004645098417086</v>
      </c>
      <c r="J531" s="306">
        <f t="shared" ca="1" si="246"/>
        <v>651.86320086304329</v>
      </c>
      <c r="K531" s="307">
        <f t="shared" ca="1" si="247"/>
        <v>3583.6287755556227</v>
      </c>
      <c r="L531" s="304">
        <f t="shared" ca="1" si="232"/>
        <v>3642.4333670816413</v>
      </c>
      <c r="M531" s="306">
        <f t="shared" ca="1" si="248"/>
        <v>1.2028896245080849</v>
      </c>
      <c r="N531" s="304">
        <f t="shared" ca="1" si="249"/>
        <v>68.920498704389615</v>
      </c>
      <c r="P531" s="310">
        <f t="shared" ca="1" si="250"/>
        <v>23</v>
      </c>
      <c r="Q531" s="304">
        <f t="shared" ca="1" si="251"/>
        <v>0</v>
      </c>
      <c r="R531" s="306">
        <f t="shared" ca="1" si="252"/>
        <v>0</v>
      </c>
      <c r="S531" s="307">
        <f t="shared" ca="1" si="253"/>
        <v>5.6519999999999806</v>
      </c>
      <c r="T531" s="304">
        <f t="shared" ca="1" si="233"/>
        <v>55.446119999999816</v>
      </c>
      <c r="U531" s="311">
        <f t="shared" ca="1" si="234"/>
        <v>0</v>
      </c>
      <c r="V531" s="306">
        <f t="shared" ca="1" si="235"/>
        <v>0.85271248718044568</v>
      </c>
      <c r="W531" s="304">
        <f t="shared" ca="1" si="236"/>
        <v>8.1544928760555191</v>
      </c>
      <c r="Y531" s="314" t="str">
        <f t="shared" ca="1" si="254"/>
        <v/>
      </c>
      <c r="Z531" s="315" t="str">
        <f t="shared" ca="1" si="255"/>
        <v/>
      </c>
      <c r="AA531" s="316" t="str">
        <f t="shared" ca="1" si="256"/>
        <v/>
      </c>
      <c r="AC531" s="310" t="e">
        <f t="shared" ca="1" si="257"/>
        <v>#N/A</v>
      </c>
      <c r="AD531" s="323" t="e">
        <f t="shared" ca="1" si="258"/>
        <v>#N/A</v>
      </c>
      <c r="AE531" s="324">
        <f t="shared" ca="1" si="237"/>
        <v>3583.6287755556227</v>
      </c>
      <c r="AG531" s="306">
        <f t="shared" ca="1" si="259"/>
        <v>-10.654184453356931</v>
      </c>
      <c r="AH531" s="304">
        <f t="shared" ca="1" si="260"/>
        <v>-1.4845596744594827</v>
      </c>
    </row>
    <row r="532" spans="1:34" x14ac:dyDescent="0.2">
      <c r="A532" s="347">
        <f t="shared" ca="1" si="238"/>
        <v>0.1</v>
      </c>
      <c r="B532" s="304">
        <f t="shared" ca="1" si="239"/>
        <v>20.799999999999955</v>
      </c>
      <c r="D532" s="306">
        <f t="shared" ca="1" si="240"/>
        <v>-0.51890824326427254</v>
      </c>
      <c r="E532" s="307">
        <f t="shared" ca="1" si="241"/>
        <v>-11.156215982432055</v>
      </c>
      <c r="F532" s="304">
        <f t="shared" ca="1" si="242"/>
        <v>11.168277432603475</v>
      </c>
      <c r="G532" s="306">
        <f t="shared" ca="1" si="243"/>
        <v>27.284168028844817</v>
      </c>
      <c r="H532" s="307">
        <f t="shared" ca="1" si="244"/>
        <v>69.802965266642175</v>
      </c>
      <c r="I532" s="304">
        <f t="shared" ca="1" si="245"/>
        <v>74.945845682347809</v>
      </c>
      <c r="J532" s="306">
        <f t="shared" ca="1" si="246"/>
        <v>654.5942122071441</v>
      </c>
      <c r="K532" s="307">
        <f t="shared" ca="1" si="247"/>
        <v>3590.6648531621991</v>
      </c>
      <c r="L532" s="304">
        <f t="shared" ca="1" si="232"/>
        <v>3649.8448830586494</v>
      </c>
      <c r="M532" s="306">
        <f t="shared" ca="1" si="248"/>
        <v>1.1981818157499735</v>
      </c>
      <c r="N532" s="304">
        <f t="shared" ca="1" si="249"/>
        <v>68.650761131795107</v>
      </c>
      <c r="P532" s="310">
        <f t="shared" ca="1" si="250"/>
        <v>23</v>
      </c>
      <c r="Q532" s="304">
        <f t="shared" ca="1" si="251"/>
        <v>0</v>
      </c>
      <c r="R532" s="306">
        <f t="shared" ca="1" si="252"/>
        <v>0</v>
      </c>
      <c r="S532" s="307">
        <f t="shared" ca="1" si="253"/>
        <v>5.6519999999999806</v>
      </c>
      <c r="T532" s="304">
        <f t="shared" ca="1" si="233"/>
        <v>55.446119999999816</v>
      </c>
      <c r="U532" s="311">
        <f t="shared" ca="1" si="234"/>
        <v>0</v>
      </c>
      <c r="V532" s="306">
        <f t="shared" ca="1" si="235"/>
        <v>0.85209279517960779</v>
      </c>
      <c r="W532" s="304">
        <f t="shared" ca="1" si="236"/>
        <v>7.9231173093001548</v>
      </c>
      <c r="Y532" s="314" t="str">
        <f t="shared" ca="1" si="254"/>
        <v/>
      </c>
      <c r="Z532" s="315" t="str">
        <f t="shared" ca="1" si="255"/>
        <v/>
      </c>
      <c r="AA532" s="316" t="str">
        <f t="shared" ca="1" si="256"/>
        <v/>
      </c>
      <c r="AC532" s="310" t="e">
        <f t="shared" ca="1" si="257"/>
        <v>#N/A</v>
      </c>
      <c r="AD532" s="323" t="e">
        <f t="shared" ca="1" si="258"/>
        <v>#N/A</v>
      </c>
      <c r="AE532" s="324">
        <f t="shared" ca="1" si="237"/>
        <v>3590.6648531621991</v>
      </c>
      <c r="AG532" s="306">
        <f t="shared" ca="1" si="259"/>
        <v>-10.596299442855647</v>
      </c>
      <c r="AH532" s="304">
        <f t="shared" ca="1" si="260"/>
        <v>-1.4427623630671527</v>
      </c>
    </row>
    <row r="533" spans="1:34" x14ac:dyDescent="0.2">
      <c r="A533" s="347">
        <f t="shared" ca="1" si="238"/>
        <v>0.1</v>
      </c>
      <c r="B533" s="304">
        <f t="shared" ca="1" si="239"/>
        <v>20.899999999999956</v>
      </c>
      <c r="D533" s="306">
        <f t="shared" ca="1" si="240"/>
        <v>-0.51033703241770401</v>
      </c>
      <c r="E533" s="307">
        <f t="shared" ca="1" si="241"/>
        <v>-11.115630360818537</v>
      </c>
      <c r="F533" s="304">
        <f t="shared" ca="1" si="242"/>
        <v>11.127339403694297</v>
      </c>
      <c r="G533" s="306">
        <f t="shared" ca="1" si="243"/>
        <v>27.233134325603046</v>
      </c>
      <c r="H533" s="307">
        <f t="shared" ca="1" si="244"/>
        <v>68.691402230560328</v>
      </c>
      <c r="I533" s="304">
        <f t="shared" ca="1" si="245"/>
        <v>73.892843669715177</v>
      </c>
      <c r="J533" s="306">
        <f t="shared" ca="1" si="246"/>
        <v>657.32007732486647</v>
      </c>
      <c r="K533" s="307">
        <f t="shared" ca="1" si="247"/>
        <v>3597.5895715370593</v>
      </c>
      <c r="L533" s="304">
        <f t="shared" ca="1" si="232"/>
        <v>3657.1464845267783</v>
      </c>
      <c r="M533" s="306">
        <f t="shared" ca="1" si="248"/>
        <v>1.1933486524505825</v>
      </c>
      <c r="N533" s="304">
        <f t="shared" ca="1" si="249"/>
        <v>68.373841273042487</v>
      </c>
      <c r="P533" s="310">
        <f t="shared" ca="1" si="250"/>
        <v>23</v>
      </c>
      <c r="Q533" s="304">
        <f t="shared" ca="1" si="251"/>
        <v>0</v>
      </c>
      <c r="R533" s="306">
        <f t="shared" ca="1" si="252"/>
        <v>0</v>
      </c>
      <c r="S533" s="307">
        <f t="shared" ca="1" si="253"/>
        <v>5.6519999999999806</v>
      </c>
      <c r="T533" s="304">
        <f t="shared" ca="1" si="233"/>
        <v>55.446119999999816</v>
      </c>
      <c r="U533" s="311">
        <f t="shared" ca="1" si="234"/>
        <v>0</v>
      </c>
      <c r="V533" s="306">
        <f t="shared" ca="1" si="235"/>
        <v>0.85148327179581174</v>
      </c>
      <c r="W533" s="304">
        <f t="shared" ca="1" si="236"/>
        <v>7.6965296088288131</v>
      </c>
      <c r="Y533" s="314" t="str">
        <f t="shared" ca="1" si="254"/>
        <v/>
      </c>
      <c r="Z533" s="315" t="str">
        <f t="shared" ca="1" si="255"/>
        <v/>
      </c>
      <c r="AA533" s="316" t="str">
        <f t="shared" ca="1" si="256"/>
        <v/>
      </c>
      <c r="AC533" s="310" t="e">
        <f t="shared" ca="1" si="257"/>
        <v>#N/A</v>
      </c>
      <c r="AD533" s="323" t="e">
        <f t="shared" ca="1" si="258"/>
        <v>#N/A</v>
      </c>
      <c r="AE533" s="324">
        <f t="shared" ca="1" si="237"/>
        <v>3597.5895715370593</v>
      </c>
      <c r="AG533" s="306">
        <f t="shared" ca="1" si="259"/>
        <v>-10.538650596919032</v>
      </c>
      <c r="AH533" s="304">
        <f t="shared" ca="1" si="260"/>
        <v>-1.4018254262739176</v>
      </c>
    </row>
    <row r="534" spans="1:34" x14ac:dyDescent="0.2">
      <c r="A534" s="347">
        <f t="shared" ca="1" si="238"/>
        <v>0.1</v>
      </c>
      <c r="B534" s="304">
        <f t="shared" ca="1" si="239"/>
        <v>20.999999999999957</v>
      </c>
      <c r="D534" s="306">
        <f t="shared" ca="1" si="240"/>
        <v>-0.5018663060943962</v>
      </c>
      <c r="E534" s="307">
        <f t="shared" ca="1" si="241"/>
        <v>-11.07588074239715</v>
      </c>
      <c r="F534" s="304">
        <f t="shared" ca="1" si="242"/>
        <v>11.087245104578363</v>
      </c>
      <c r="G534" s="306">
        <f t="shared" ca="1" si="243"/>
        <v>27.182947694993608</v>
      </c>
      <c r="H534" s="307">
        <f t="shared" ca="1" si="244"/>
        <v>67.583814156320614</v>
      </c>
      <c r="I534" s="304">
        <f t="shared" ca="1" si="245"/>
        <v>72.845621565780064</v>
      </c>
      <c r="J534" s="306">
        <f t="shared" ca="1" si="246"/>
        <v>660.04088142589626</v>
      </c>
      <c r="K534" s="307">
        <f t="shared" ca="1" si="247"/>
        <v>3604.4033323564036</v>
      </c>
      <c r="L534" s="304">
        <f t="shared" ca="1" si="232"/>
        <v>3664.3385961801378</v>
      </c>
      <c r="M534" s="306">
        <f t="shared" ca="1" si="248"/>
        <v>1.1883854432051983</v>
      </c>
      <c r="N534" s="304">
        <f t="shared" ca="1" si="249"/>
        <v>68.089470330441657</v>
      </c>
      <c r="P534" s="310">
        <f t="shared" ca="1" si="250"/>
        <v>23</v>
      </c>
      <c r="Q534" s="304">
        <f t="shared" ca="1" si="251"/>
        <v>0</v>
      </c>
      <c r="R534" s="306">
        <f t="shared" ca="1" si="252"/>
        <v>0</v>
      </c>
      <c r="S534" s="307">
        <f t="shared" ca="1" si="253"/>
        <v>5.6519999999999806</v>
      </c>
      <c r="T534" s="304">
        <f t="shared" ca="1" si="233"/>
        <v>55.446119999999816</v>
      </c>
      <c r="U534" s="311">
        <f t="shared" ca="1" si="234"/>
        <v>0</v>
      </c>
      <c r="V534" s="306">
        <f t="shared" ca="1" si="235"/>
        <v>0.85088386412766737</v>
      </c>
      <c r="W534" s="304">
        <f t="shared" ca="1" si="236"/>
        <v>7.4746568304162473</v>
      </c>
      <c r="Y534" s="314" t="str">
        <f t="shared" ca="1" si="254"/>
        <v/>
      </c>
      <c r="Z534" s="315" t="str">
        <f t="shared" ca="1" si="255"/>
        <v/>
      </c>
      <c r="AA534" s="316" t="str">
        <f t="shared" ca="1" si="256"/>
        <v/>
      </c>
      <c r="AC534" s="310">
        <f t="shared" ca="1" si="257"/>
        <v>20.999999999999957</v>
      </c>
      <c r="AD534" s="323">
        <f t="shared" ca="1" si="258"/>
        <v>660.04088142589626</v>
      </c>
      <c r="AE534" s="324">
        <f t="shared" ca="1" si="237"/>
        <v>3604.4033323564036</v>
      </c>
      <c r="AG534" s="306">
        <f t="shared" ca="1" si="259"/>
        <v>-10.481193214364056</v>
      </c>
      <c r="AH534" s="304">
        <f t="shared" ca="1" si="260"/>
        <v>-1.3617355995804741</v>
      </c>
    </row>
    <row r="535" spans="1:34" x14ac:dyDescent="0.2">
      <c r="A535" s="347">
        <f t="shared" ca="1" si="238"/>
        <v>0.1</v>
      </c>
      <c r="B535" s="304">
        <f t="shared" ca="1" si="239"/>
        <v>21.099999999999959</v>
      </c>
      <c r="D535" s="306">
        <f t="shared" ca="1" si="240"/>
        <v>-0.49349436893730197</v>
      </c>
      <c r="E535" s="307">
        <f t="shared" ca="1" si="241"/>
        <v>-11.036954195390368</v>
      </c>
      <c r="F535" s="304">
        <f t="shared" ca="1" si="242"/>
        <v>11.047981471894216</v>
      </c>
      <c r="G535" s="306">
        <f t="shared" ca="1" si="243"/>
        <v>27.133598258099877</v>
      </c>
      <c r="H535" s="307">
        <f t="shared" ca="1" si="244"/>
        <v>66.480118736781577</v>
      </c>
      <c r="I535" s="304">
        <f t="shared" ca="1" si="245"/>
        <v>71.804166603955068</v>
      </c>
      <c r="J535" s="306">
        <f t="shared" ca="1" si="246"/>
        <v>662.7567087235509</v>
      </c>
      <c r="K535" s="307">
        <f t="shared" ca="1" si="247"/>
        <v>3611.1065290010588</v>
      </c>
      <c r="L535" s="304">
        <f t="shared" ca="1" si="232"/>
        <v>3671.4216345650289</v>
      </c>
      <c r="M535" s="306">
        <f t="shared" ca="1" si="248"/>
        <v>1.1832872729017381</v>
      </c>
      <c r="N535" s="304">
        <f t="shared" ca="1" si="249"/>
        <v>67.797366688814449</v>
      </c>
      <c r="P535" s="310">
        <f t="shared" ca="1" si="250"/>
        <v>23</v>
      </c>
      <c r="Q535" s="304">
        <f t="shared" ca="1" si="251"/>
        <v>0</v>
      </c>
      <c r="R535" s="306">
        <f t="shared" ca="1" si="252"/>
        <v>0</v>
      </c>
      <c r="S535" s="307">
        <f t="shared" ca="1" si="253"/>
        <v>5.6519999999999806</v>
      </c>
      <c r="T535" s="304">
        <f t="shared" ca="1" si="233"/>
        <v>55.446119999999816</v>
      </c>
      <c r="U535" s="311">
        <f t="shared" ca="1" si="234"/>
        <v>0</v>
      </c>
      <c r="V535" s="306">
        <f t="shared" ca="1" si="235"/>
        <v>0.85029452039082798</v>
      </c>
      <c r="W535" s="304">
        <f t="shared" ca="1" si="236"/>
        <v>7.2574280027784965</v>
      </c>
      <c r="Y535" s="314" t="str">
        <f t="shared" ca="1" si="254"/>
        <v/>
      </c>
      <c r="Z535" s="315" t="str">
        <f t="shared" ca="1" si="255"/>
        <v/>
      </c>
      <c r="AA535" s="316" t="str">
        <f t="shared" ca="1" si="256"/>
        <v/>
      </c>
      <c r="AC535" s="310" t="e">
        <f t="shared" ca="1" si="257"/>
        <v>#N/A</v>
      </c>
      <c r="AD535" s="323" t="e">
        <f t="shared" ca="1" si="258"/>
        <v>#N/A</v>
      </c>
      <c r="AE535" s="324">
        <f t="shared" ca="1" si="237"/>
        <v>3611.1065290010588</v>
      </c>
      <c r="AG535" s="306">
        <f t="shared" ca="1" si="259"/>
        <v>-10.423881030735648</v>
      </c>
      <c r="AH535" s="304">
        <f t="shared" ca="1" si="260"/>
        <v>-1.3224799770729427</v>
      </c>
    </row>
    <row r="536" spans="1:34" x14ac:dyDescent="0.2">
      <c r="A536" s="347">
        <f t="shared" ca="1" si="238"/>
        <v>0.1</v>
      </c>
      <c r="B536" s="304">
        <f t="shared" ca="1" si="239"/>
        <v>21.19999999999996</v>
      </c>
      <c r="D536" s="306">
        <f t="shared" ca="1" si="240"/>
        <v>-0.48521959112530882</v>
      </c>
      <c r="E536" s="307">
        <f t="shared" ca="1" si="241"/>
        <v>-10.998838123295856</v>
      </c>
      <c r="F536" s="304">
        <f t="shared" ca="1" si="242"/>
        <v>11.009535781043546</v>
      </c>
      <c r="G536" s="306">
        <f t="shared" ca="1" si="243"/>
        <v>27.085076298987346</v>
      </c>
      <c r="H536" s="307">
        <f t="shared" ca="1" si="244"/>
        <v>65.380234924451997</v>
      </c>
      <c r="I536" s="304">
        <f t="shared" ca="1" si="245"/>
        <v>70.768470923840781</v>
      </c>
      <c r="J536" s="306">
        <f t="shared" ca="1" si="246"/>
        <v>665.46764245140525</v>
      </c>
      <c r="K536" s="307">
        <f t="shared" ca="1" si="247"/>
        <v>3617.6995466841204</v>
      </c>
      <c r="L536" s="304">
        <f t="shared" ca="1" si="232"/>
        <v>3678.3960082117751</v>
      </c>
      <c r="M536" s="306">
        <f t="shared" ca="1" si="248"/>
        <v>1.1780489902819522</v>
      </c>
      <c r="N536" s="304">
        <f t="shared" ca="1" si="249"/>
        <v>67.497235202803992</v>
      </c>
      <c r="P536" s="310">
        <f t="shared" ca="1" si="250"/>
        <v>23</v>
      </c>
      <c r="Q536" s="304">
        <f t="shared" ca="1" si="251"/>
        <v>0</v>
      </c>
      <c r="R536" s="306">
        <f t="shared" ca="1" si="252"/>
        <v>0</v>
      </c>
      <c r="S536" s="307">
        <f t="shared" ca="1" si="253"/>
        <v>5.6519999999999806</v>
      </c>
      <c r="T536" s="304">
        <f t="shared" ca="1" si="233"/>
        <v>55.446119999999816</v>
      </c>
      <c r="U536" s="311">
        <f t="shared" ca="1" si="234"/>
        <v>0</v>
      </c>
      <c r="V536" s="306">
        <f t="shared" ca="1" si="235"/>
        <v>0.84971518990000472</v>
      </c>
      <c r="W536" s="304">
        <f t="shared" ca="1" si="236"/>
        <v>7.0447740756527075</v>
      </c>
      <c r="Y536" s="314" t="str">
        <f t="shared" ca="1" si="254"/>
        <v/>
      </c>
      <c r="Z536" s="315" t="str">
        <f t="shared" ca="1" si="255"/>
        <v/>
      </c>
      <c r="AA536" s="316" t="str">
        <f t="shared" ca="1" si="256"/>
        <v/>
      </c>
      <c r="AC536" s="310" t="e">
        <f t="shared" ca="1" si="257"/>
        <v>#N/A</v>
      </c>
      <c r="AD536" s="323" t="e">
        <f t="shared" ca="1" si="258"/>
        <v>#N/A</v>
      </c>
      <c r="AE536" s="324">
        <f t="shared" ca="1" si="237"/>
        <v>3617.6995466841204</v>
      </c>
      <c r="AG536" s="306">
        <f t="shared" ca="1" si="259"/>
        <v>-10.366666073315319</v>
      </c>
      <c r="AH536" s="304">
        <f t="shared" ca="1" si="260"/>
        <v>-1.2840460019070279</v>
      </c>
    </row>
    <row r="537" spans="1:34" x14ac:dyDescent="0.2">
      <c r="A537" s="347">
        <f t="shared" ca="1" si="238"/>
        <v>0.1</v>
      </c>
      <c r="B537" s="304">
        <f t="shared" ca="1" si="239"/>
        <v>21.299999999999962</v>
      </c>
      <c r="D537" s="306">
        <f t="shared" ca="1" si="240"/>
        <v>-0.47704040833624184</v>
      </c>
      <c r="E537" s="307">
        <f t="shared" ca="1" si="241"/>
        <v>-10.96152025496218</v>
      </c>
      <c r="F537" s="304">
        <f t="shared" ca="1" si="242"/>
        <v>10.971895636175717</v>
      </c>
      <c r="G537" s="306">
        <f t="shared" ca="1" si="243"/>
        <v>27.03737225815372</v>
      </c>
      <c r="H537" s="307">
        <f t="shared" ca="1" si="244"/>
        <v>64.284082898955774</v>
      </c>
      <c r="I537" s="304">
        <f t="shared" ca="1" si="245"/>
        <v>69.738531765343311</v>
      </c>
      <c r="J537" s="306">
        <f t="shared" ca="1" si="246"/>
        <v>668.17376487926231</v>
      </c>
      <c r="K537" s="307">
        <f t="shared" ca="1" si="247"/>
        <v>3624.1827625752908</v>
      </c>
      <c r="L537" s="304">
        <f t="shared" ca="1" si="232"/>
        <v>3685.2621177632391</v>
      </c>
      <c r="M537" s="306">
        <f t="shared" ca="1" si="248"/>
        <v>1.172665194759144</v>
      </c>
      <c r="N537" s="304">
        <f t="shared" ca="1" si="249"/>
        <v>67.188766441585656</v>
      </c>
      <c r="P537" s="310">
        <f t="shared" ca="1" si="250"/>
        <v>23</v>
      </c>
      <c r="Q537" s="304">
        <f t="shared" ca="1" si="251"/>
        <v>0</v>
      </c>
      <c r="R537" s="306">
        <f t="shared" ca="1" si="252"/>
        <v>0</v>
      </c>
      <c r="S537" s="307">
        <f t="shared" ca="1" si="253"/>
        <v>5.6519999999999806</v>
      </c>
      <c r="T537" s="304">
        <f t="shared" ca="1" si="233"/>
        <v>55.446119999999816</v>
      </c>
      <c r="U537" s="311">
        <f t="shared" ca="1" si="234"/>
        <v>0</v>
      </c>
      <c r="V537" s="306">
        <f t="shared" ca="1" si="235"/>
        <v>0.84914582305146691</v>
      </c>
      <c r="W537" s="304">
        <f t="shared" ca="1" si="236"/>
        <v>6.8366278696700347</v>
      </c>
      <c r="Y537" s="314" t="str">
        <f t="shared" ca="1" si="254"/>
        <v/>
      </c>
      <c r="Z537" s="315" t="str">
        <f t="shared" ca="1" si="255"/>
        <v/>
      </c>
      <c r="AA537" s="316" t="str">
        <f t="shared" ca="1" si="256"/>
        <v/>
      </c>
      <c r="AC537" s="310" t="e">
        <f t="shared" ca="1" si="257"/>
        <v>#N/A</v>
      </c>
      <c r="AD537" s="323" t="e">
        <f t="shared" ca="1" si="258"/>
        <v>#N/A</v>
      </c>
      <c r="AE537" s="324">
        <f t="shared" ca="1" si="237"/>
        <v>3624.1827625752908</v>
      </c>
      <c r="AG537" s="306">
        <f t="shared" ca="1" si="259"/>
        <v>-10.309498505926697</v>
      </c>
      <c r="AH537" s="304">
        <f t="shared" ca="1" si="260"/>
        <v>-1.2464214571218564</v>
      </c>
    </row>
    <row r="538" spans="1:34" x14ac:dyDescent="0.2">
      <c r="A538" s="347">
        <f t="shared" ca="1" si="238"/>
        <v>0.1</v>
      </c>
      <c r="B538" s="304">
        <f t="shared" ca="1" si="239"/>
        <v>21.399999999999963</v>
      </c>
      <c r="D538" s="306">
        <f t="shared" ca="1" si="240"/>
        <v>-0.46895532184649386</v>
      </c>
      <c r="E538" s="307">
        <f t="shared" ca="1" si="241"/>
        <v>-10.924988634903128</v>
      </c>
      <c r="F538" s="304">
        <f t="shared" ca="1" si="242"/>
        <v>10.935048960413971</v>
      </c>
      <c r="G538" s="306">
        <f t="shared" ca="1" si="243"/>
        <v>26.990476725969071</v>
      </c>
      <c r="H538" s="307">
        <f t="shared" ca="1" si="244"/>
        <v>63.191584035465461</v>
      </c>
      <c r="I538" s="304">
        <f t="shared" ca="1" si="245"/>
        <v>68.714351680026581</v>
      </c>
      <c r="J538" s="306">
        <f t="shared" ca="1" si="246"/>
        <v>670.8751573284685</v>
      </c>
      <c r="K538" s="307">
        <f t="shared" ca="1" si="247"/>
        <v>3630.556545922012</v>
      </c>
      <c r="L538" s="304">
        <f t="shared" ca="1" si="232"/>
        <v>3692.0203561001213</v>
      </c>
      <c r="M538" s="306">
        <f t="shared" ca="1" si="248"/>
        <v>1.1671302224509665</v>
      </c>
      <c r="N538" s="304">
        <f t="shared" ca="1" si="249"/>
        <v>66.871635888605297</v>
      </c>
      <c r="P538" s="310">
        <f t="shared" ca="1" si="250"/>
        <v>23</v>
      </c>
      <c r="Q538" s="304">
        <f t="shared" ca="1" si="251"/>
        <v>0</v>
      </c>
      <c r="R538" s="306">
        <f t="shared" ca="1" si="252"/>
        <v>0</v>
      </c>
      <c r="S538" s="307">
        <f t="shared" ca="1" si="253"/>
        <v>5.6519999999999806</v>
      </c>
      <c r="T538" s="304">
        <f t="shared" ca="1" si="233"/>
        <v>55.446119999999816</v>
      </c>
      <c r="U538" s="311">
        <f t="shared" ca="1" si="234"/>
        <v>0</v>
      </c>
      <c r="V538" s="306">
        <f t="shared" ca="1" si="235"/>
        <v>0.848586371306014</v>
      </c>
      <c r="W538" s="304">
        <f t="shared" ca="1" si="236"/>
        <v>6.632924027954501</v>
      </c>
      <c r="Y538" s="314" t="str">
        <f t="shared" ca="1" si="254"/>
        <v/>
      </c>
      <c r="Z538" s="315" t="str">
        <f t="shared" ca="1" si="255"/>
        <v/>
      </c>
      <c r="AA538" s="316" t="str">
        <f t="shared" ca="1" si="256"/>
        <v/>
      </c>
      <c r="AC538" s="310" t="e">
        <f t="shared" ca="1" si="257"/>
        <v>#N/A</v>
      </c>
      <c r="AD538" s="323" t="e">
        <f t="shared" ca="1" si="258"/>
        <v>#N/A</v>
      </c>
      <c r="AE538" s="324">
        <f t="shared" ca="1" si="237"/>
        <v>3630.556545922012</v>
      </c>
      <c r="AG538" s="306">
        <f t="shared" ca="1" si="259"/>
        <v>-10.252326462668375</v>
      </c>
      <c r="AH538" s="304">
        <f t="shared" ca="1" si="260"/>
        <v>-1.2095944567710648</v>
      </c>
    </row>
    <row r="539" spans="1:34" x14ac:dyDescent="0.2">
      <c r="A539" s="347">
        <f t="shared" ca="1" si="238"/>
        <v>0.1</v>
      </c>
      <c r="B539" s="304">
        <f t="shared" ca="1" si="239"/>
        <v>21.499999999999964</v>
      </c>
      <c r="D539" s="306">
        <f t="shared" ca="1" si="240"/>
        <v>-0.46096289877290719</v>
      </c>
      <c r="E539" s="307">
        <f t="shared" ca="1" si="241"/>
        <v>-10.889231613831159</v>
      </c>
      <c r="F539" s="304">
        <f t="shared" ca="1" si="242"/>
        <v>10.898983986303726</v>
      </c>
      <c r="G539" s="306">
        <f t="shared" ca="1" si="243"/>
        <v>26.94438043609178</v>
      </c>
      <c r="H539" s="307">
        <f t="shared" ca="1" si="244"/>
        <v>62.102660874082346</v>
      </c>
      <c r="I539" s="304">
        <f t="shared" ca="1" si="245"/>
        <v>67.695938760948749</v>
      </c>
      <c r="J539" s="306">
        <f t="shared" ca="1" si="246"/>
        <v>673.5719001865715</v>
      </c>
      <c r="K539" s="307">
        <f t="shared" ca="1" si="247"/>
        <v>3636.8212581674893</v>
      </c>
      <c r="L539" s="304">
        <f t="shared" ca="1" si="232"/>
        <v>3698.6711084631343</v>
      </c>
      <c r="M539" s="306">
        <f t="shared" ca="1" si="248"/>
        <v>1.1614381313847781</v>
      </c>
      <c r="N539" s="304">
        <f t="shared" ca="1" si="249"/>
        <v>66.545503093908593</v>
      </c>
      <c r="P539" s="310">
        <f t="shared" ca="1" si="250"/>
        <v>23</v>
      </c>
      <c r="Q539" s="304">
        <f t="shared" ca="1" si="251"/>
        <v>0</v>
      </c>
      <c r="R539" s="306">
        <f t="shared" ca="1" si="252"/>
        <v>0</v>
      </c>
      <c r="S539" s="307">
        <f t="shared" ca="1" si="253"/>
        <v>5.6519999999999806</v>
      </c>
      <c r="T539" s="304">
        <f t="shared" ca="1" si="233"/>
        <v>55.446119999999816</v>
      </c>
      <c r="U539" s="311">
        <f t="shared" ca="1" si="234"/>
        <v>0</v>
      </c>
      <c r="V539" s="306">
        <f t="shared" ca="1" si="235"/>
        <v>0.84803678717240771</v>
      </c>
      <c r="W539" s="304">
        <f t="shared" ca="1" si="236"/>
        <v>6.4335989693832669</v>
      </c>
      <c r="Y539" s="314" t="str">
        <f t="shared" ca="1" si="254"/>
        <v/>
      </c>
      <c r="Z539" s="315" t="str">
        <f t="shared" ca="1" si="255"/>
        <v/>
      </c>
      <c r="AA539" s="316" t="str">
        <f t="shared" ca="1" si="256"/>
        <v/>
      </c>
      <c r="AC539" s="310" t="e">
        <f t="shared" ca="1" si="257"/>
        <v>#N/A</v>
      </c>
      <c r="AD539" s="323" t="e">
        <f t="shared" ca="1" si="258"/>
        <v>#N/A</v>
      </c>
      <c r="AE539" s="324">
        <f t="shared" ca="1" si="237"/>
        <v>3636.8212581674893</v>
      </c>
      <c r="AG539" s="306">
        <f t="shared" ca="1" si="259"/>
        <v>-10.195095869638472</v>
      </c>
      <c r="AH539" s="304">
        <f t="shared" ca="1" si="260"/>
        <v>-1.1735534373592575</v>
      </c>
    </row>
    <row r="540" spans="1:34" x14ac:dyDescent="0.2">
      <c r="A540" s="347">
        <f t="shared" ca="1" si="238"/>
        <v>0.1</v>
      </c>
      <c r="B540" s="304">
        <f t="shared" ca="1" si="239"/>
        <v>21.599999999999966</v>
      </c>
      <c r="D540" s="306">
        <f t="shared" ca="1" si="240"/>
        <v>-0.45306177246317003</v>
      </c>
      <c r="E540" s="307">
        <f t="shared" ca="1" si="241"/>
        <v>-10.854237839390159</v>
      </c>
      <c r="F540" s="304">
        <f t="shared" ca="1" si="242"/>
        <v>10.863689246463036</v>
      </c>
      <c r="G540" s="306">
        <f t="shared" ca="1" si="243"/>
        <v>26.899074258845463</v>
      </c>
      <c r="H540" s="307">
        <f t="shared" ca="1" si="244"/>
        <v>61.017237090143333</v>
      </c>
      <c r="I540" s="304">
        <f t="shared" ca="1" si="245"/>
        <v>66.683306892337342</v>
      </c>
      <c r="J540" s="306">
        <f t="shared" ca="1" si="246"/>
        <v>676.26407292131842</v>
      </c>
      <c r="K540" s="307">
        <f t="shared" ca="1" si="247"/>
        <v>3642.9772530657006</v>
      </c>
      <c r="L540" s="304">
        <f t="shared" ca="1" si="232"/>
        <v>3705.2147525721434</v>
      </c>
      <c r="M540" s="306">
        <f t="shared" ca="1" si="248"/>
        <v>1.1555826858322531</v>
      </c>
      <c r="N540" s="304">
        <f t="shared" ca="1" si="249"/>
        <v>66.210010776580248</v>
      </c>
      <c r="P540" s="310">
        <f t="shared" ca="1" si="250"/>
        <v>23</v>
      </c>
      <c r="Q540" s="304">
        <f t="shared" ca="1" si="251"/>
        <v>0</v>
      </c>
      <c r="R540" s="306">
        <f t="shared" ca="1" si="252"/>
        <v>0</v>
      </c>
      <c r="S540" s="307">
        <f t="shared" ca="1" si="253"/>
        <v>5.6519999999999806</v>
      </c>
      <c r="T540" s="304">
        <f t="shared" ca="1" si="233"/>
        <v>55.446119999999816</v>
      </c>
      <c r="U540" s="311">
        <f t="shared" ca="1" si="234"/>
        <v>0</v>
      </c>
      <c r="V540" s="306">
        <f t="shared" ca="1" si="235"/>
        <v>0.84749702419124684</v>
      </c>
      <c r="W540" s="304">
        <f t="shared" ca="1" si="236"/>
        <v>6.2385908434465707</v>
      </c>
      <c r="Y540" s="314" t="str">
        <f t="shared" ca="1" si="254"/>
        <v/>
      </c>
      <c r="Z540" s="315" t="str">
        <f t="shared" ca="1" si="255"/>
        <v/>
      </c>
      <c r="AA540" s="316" t="str">
        <f t="shared" ca="1" si="256"/>
        <v/>
      </c>
      <c r="AC540" s="310" t="e">
        <f t="shared" ca="1" si="257"/>
        <v>#N/A</v>
      </c>
      <c r="AD540" s="323" t="e">
        <f t="shared" ca="1" si="258"/>
        <v>#N/A</v>
      </c>
      <c r="AE540" s="324">
        <f t="shared" ca="1" si="237"/>
        <v>3642.9772530657006</v>
      </c>
      <c r="AG540" s="306">
        <f t="shared" ca="1" si="259"/>
        <v>-10.137750253645478</v>
      </c>
      <c r="AH540" s="304">
        <f t="shared" ca="1" si="260"/>
        <v>-1.1382871495724149</v>
      </c>
    </row>
    <row r="541" spans="1:34" x14ac:dyDescent="0.2">
      <c r="A541" s="347">
        <f t="shared" ca="1" si="238"/>
        <v>0.1</v>
      </c>
      <c r="B541" s="304">
        <f t="shared" ca="1" si="239"/>
        <v>21.699999999999967</v>
      </c>
      <c r="D541" s="306">
        <f t="shared" ca="1" si="240"/>
        <v>-0.44525064304170003</v>
      </c>
      <c r="E541" s="307">
        <f t="shared" ca="1" si="241"/>
        <v>-10.819996247067138</v>
      </c>
      <c r="F541" s="304">
        <f t="shared" ca="1" si="242"/>
        <v>10.829153564414719</v>
      </c>
      <c r="G541" s="306">
        <f t="shared" ca="1" si="243"/>
        <v>26.854549194541292</v>
      </c>
      <c r="H541" s="307">
        <f t="shared" ca="1" si="244"/>
        <v>59.935237465436622</v>
      </c>
      <c r="I541" s="304">
        <f t="shared" ca="1" si="245"/>
        <v>65.676476020568558</v>
      </c>
      <c r="J541" s="306">
        <f t="shared" ca="1" si="246"/>
        <v>678.9517540939878</v>
      </c>
      <c r="K541" s="307">
        <f t="shared" ca="1" si="247"/>
        <v>3649.0248767934795</v>
      </c>
      <c r="L541" s="304">
        <f t="shared" ca="1" si="232"/>
        <v>3711.651658742368</v>
      </c>
      <c r="M541" s="306">
        <f t="shared" ca="1" si="248"/>
        <v>1.1495573397295344</v>
      </c>
      <c r="N541" s="304">
        <f t="shared" ca="1" si="249"/>
        <v>65.86478387478887</v>
      </c>
      <c r="P541" s="310">
        <f t="shared" ca="1" si="250"/>
        <v>23</v>
      </c>
      <c r="Q541" s="304">
        <f t="shared" ca="1" si="251"/>
        <v>0</v>
      </c>
      <c r="R541" s="306">
        <f t="shared" ca="1" si="252"/>
        <v>0</v>
      </c>
      <c r="S541" s="307">
        <f t="shared" ca="1" si="253"/>
        <v>5.6519999999999806</v>
      </c>
      <c r="T541" s="304">
        <f t="shared" ca="1" si="233"/>
        <v>55.446119999999816</v>
      </c>
      <c r="U541" s="311">
        <f t="shared" ca="1" si="234"/>
        <v>0</v>
      </c>
      <c r="V541" s="306">
        <f t="shared" ca="1" si="235"/>
        <v>0.84696703691927477</v>
      </c>
      <c r="W541" s="304">
        <f t="shared" ca="1" si="236"/>
        <v>6.0478394866479457</v>
      </c>
      <c r="Y541" s="314" t="str">
        <f t="shared" ca="1" si="254"/>
        <v/>
      </c>
      <c r="Z541" s="315" t="str">
        <f t="shared" ca="1" si="255"/>
        <v/>
      </c>
      <c r="AA541" s="316" t="str">
        <f t="shared" ca="1" si="256"/>
        <v/>
      </c>
      <c r="AC541" s="310" t="e">
        <f t="shared" ca="1" si="257"/>
        <v>#N/A</v>
      </c>
      <c r="AD541" s="323" t="e">
        <f t="shared" ca="1" si="258"/>
        <v>#N/A</v>
      </c>
      <c r="AE541" s="324">
        <f t="shared" ca="1" si="237"/>
        <v>3649.0248767934795</v>
      </c>
      <c r="AG541" s="306">
        <f t="shared" ca="1" si="259"/>
        <v>-10.080230536826832</v>
      </c>
      <c r="AH541" s="304">
        <f t="shared" ca="1" si="260"/>
        <v>-1.1037846502913291</v>
      </c>
    </row>
    <row r="542" spans="1:34" x14ac:dyDescent="0.2">
      <c r="A542" s="347">
        <f t="shared" ca="1" si="238"/>
        <v>0.1</v>
      </c>
      <c r="B542" s="304">
        <f t="shared" ca="1" si="239"/>
        <v>21.799999999999969</v>
      </c>
      <c r="D542" s="306">
        <f t="shared" ca="1" si="240"/>
        <v>-0.43752827811872247</v>
      </c>
      <c r="E542" s="307">
        <f t="shared" ca="1" si="241"/>
        <v>-10.786496051261945</v>
      </c>
      <c r="F542" s="304">
        <f t="shared" ca="1" si="242"/>
        <v>10.795366045579144</v>
      </c>
      <c r="G542" s="306">
        <f t="shared" ca="1" si="243"/>
        <v>26.81079636672942</v>
      </c>
      <c r="H542" s="307">
        <f t="shared" ca="1" si="244"/>
        <v>58.856587860310427</v>
      </c>
      <c r="I542" s="304">
        <f t="shared" ca="1" si="245"/>
        <v>64.675472448036061</v>
      </c>
      <c r="J542" s="306">
        <f t="shared" ca="1" si="246"/>
        <v>681.63502137205137</v>
      </c>
      <c r="K542" s="307">
        <f t="shared" ca="1" si="247"/>
        <v>3654.9644680597667</v>
      </c>
      <c r="L542" s="304">
        <f t="shared" ca="1" si="232"/>
        <v>3717.9821899977264</v>
      </c>
      <c r="M542" s="306">
        <f t="shared" ca="1" si="248"/>
        <v>1.1433552191393175</v>
      </c>
      <c r="N542" s="304">
        <f t="shared" ca="1" si="249"/>
        <v>65.509428540938259</v>
      </c>
      <c r="P542" s="310">
        <f t="shared" ca="1" si="250"/>
        <v>23</v>
      </c>
      <c r="Q542" s="304">
        <f t="shared" ca="1" si="251"/>
        <v>0</v>
      </c>
      <c r="R542" s="306">
        <f t="shared" ca="1" si="252"/>
        <v>0</v>
      </c>
      <c r="S542" s="307">
        <f t="shared" ca="1" si="253"/>
        <v>5.6519999999999806</v>
      </c>
      <c r="T542" s="304">
        <f t="shared" ca="1" si="233"/>
        <v>55.446119999999816</v>
      </c>
      <c r="U542" s="311">
        <f t="shared" ca="1" si="234"/>
        <v>0</v>
      </c>
      <c r="V542" s="306">
        <f t="shared" ca="1" si="235"/>
        <v>0.84644678091410774</v>
      </c>
      <c r="W542" s="304">
        <f t="shared" ca="1" si="236"/>
        <v>5.8612863803878463</v>
      </c>
      <c r="Y542" s="314" t="str">
        <f t="shared" ca="1" si="254"/>
        <v/>
      </c>
      <c r="Z542" s="315" t="str">
        <f t="shared" ca="1" si="255"/>
        <v/>
      </c>
      <c r="AA542" s="316" t="str">
        <f t="shared" ca="1" si="256"/>
        <v/>
      </c>
      <c r="AC542" s="310" t="e">
        <f t="shared" ca="1" si="257"/>
        <v>#N/A</v>
      </c>
      <c r="AD542" s="323" t="e">
        <f t="shared" ca="1" si="258"/>
        <v>#N/A</v>
      </c>
      <c r="AE542" s="324">
        <f t="shared" ca="1" si="237"/>
        <v>3654.9644680597667</v>
      </c>
      <c r="AG542" s="306">
        <f t="shared" ca="1" si="259"/>
        <v>-10.02247481602048</v>
      </c>
      <c r="AH542" s="304">
        <f t="shared" ca="1" si="260"/>
        <v>-1.0700352948775596</v>
      </c>
    </row>
    <row r="543" spans="1:34" x14ac:dyDescent="0.2">
      <c r="A543" s="347">
        <f t="shared" ca="1" si="238"/>
        <v>0.1</v>
      </c>
      <c r="B543" s="304">
        <f t="shared" ca="1" si="239"/>
        <v>21.89999999999997</v>
      </c>
      <c r="D543" s="306">
        <f t="shared" ca="1" si="240"/>
        <v>-0.42989351367103545</v>
      </c>
      <c r="E543" s="307">
        <f t="shared" ca="1" si="241"/>
        <v>-10.753726736493183</v>
      </c>
      <c r="F543" s="304">
        <f t="shared" ca="1" si="242"/>
        <v>10.762316068405758</v>
      </c>
      <c r="G543" s="306">
        <f t="shared" ca="1" si="243"/>
        <v>26.767807015362315</v>
      </c>
      <c r="H543" s="307">
        <f t="shared" ca="1" si="244"/>
        <v>57.781215186661107</v>
      </c>
      <c r="I543" s="304">
        <f t="shared" ca="1" si="245"/>
        <v>63.680329151621983</v>
      </c>
      <c r="J543" s="306">
        <f t="shared" ca="1" si="246"/>
        <v>684.31395154115592</v>
      </c>
      <c r="K543" s="307">
        <f t="shared" ca="1" si="247"/>
        <v>3660.7963582121151</v>
      </c>
      <c r="L543" s="304">
        <f t="shared" ca="1" si="232"/>
        <v>3724.2067021814128</v>
      </c>
      <c r="M543" s="306">
        <f t="shared" ca="1" si="248"/>
        <v>1.1369691037119798</v>
      </c>
      <c r="N543" s="304">
        <f t="shared" ca="1" si="249"/>
        <v>65.143531079468417</v>
      </c>
      <c r="P543" s="310">
        <f t="shared" ca="1" si="250"/>
        <v>23</v>
      </c>
      <c r="Q543" s="304">
        <f t="shared" ca="1" si="251"/>
        <v>0</v>
      </c>
      <c r="R543" s="306">
        <f t="shared" ca="1" si="252"/>
        <v>0</v>
      </c>
      <c r="S543" s="307">
        <f t="shared" ca="1" si="253"/>
        <v>5.6519999999999806</v>
      </c>
      <c r="T543" s="304">
        <f t="shared" ca="1" si="233"/>
        <v>55.446119999999816</v>
      </c>
      <c r="U543" s="311">
        <f t="shared" ca="1" si="234"/>
        <v>0</v>
      </c>
      <c r="V543" s="306">
        <f t="shared" ca="1" si="235"/>
        <v>0.84593621271936736</v>
      </c>
      <c r="W543" s="304">
        <f t="shared" ca="1" si="236"/>
        <v>5.6788746102759466</v>
      </c>
      <c r="Y543" s="314" t="str">
        <f t="shared" ca="1" si="254"/>
        <v/>
      </c>
      <c r="Z543" s="315" t="str">
        <f t="shared" ca="1" si="255"/>
        <v/>
      </c>
      <c r="AA543" s="316" t="str">
        <f t="shared" ca="1" si="256"/>
        <v/>
      </c>
      <c r="AC543" s="310" t="e">
        <f t="shared" ca="1" si="257"/>
        <v>#N/A</v>
      </c>
      <c r="AD543" s="323" t="e">
        <f t="shared" ca="1" si="258"/>
        <v>#N/A</v>
      </c>
      <c r="AE543" s="324">
        <f t="shared" ca="1" si="237"/>
        <v>3660.7963582121151</v>
      </c>
      <c r="AG543" s="306">
        <f t="shared" ca="1" si="259"/>
        <v>-9.9644181256562554</v>
      </c>
      <c r="AH543" s="304">
        <f t="shared" ca="1" si="260"/>
        <v>-1.0370287297218448</v>
      </c>
    </row>
    <row r="544" spans="1:34" x14ac:dyDescent="0.2">
      <c r="A544" s="347">
        <f t="shared" ca="1" si="238"/>
        <v>0.1</v>
      </c>
      <c r="B544" s="304">
        <f t="shared" ca="1" si="239"/>
        <v>21.999999999999972</v>
      </c>
      <c r="D544" s="306">
        <f t="shared" ca="1" si="240"/>
        <v>-0.42234525510378529</v>
      </c>
      <c r="E544" s="307">
        <f t="shared" ca="1" si="241"/>
        <v>-10.721678048717687</v>
      </c>
      <c r="F544" s="304">
        <f t="shared" ca="1" si="242"/>
        <v>10.729993275620604</v>
      </c>
      <c r="G544" s="306">
        <f t="shared" ca="1" si="243"/>
        <v>26.725572489851938</v>
      </c>
      <c r="H544" s="307">
        <f t="shared" ca="1" si="244"/>
        <v>56.70904738178934</v>
      </c>
      <c r="I544" s="304">
        <f t="shared" ca="1" si="245"/>
        <v>62.691086127617531</v>
      </c>
      <c r="J544" s="306">
        <f t="shared" ca="1" si="246"/>
        <v>686.98862051641663</v>
      </c>
      <c r="K544" s="307">
        <f t="shared" ca="1" si="247"/>
        <v>3666.5208713405377</v>
      </c>
      <c r="L544" s="304">
        <f t="shared" ca="1" si="232"/>
        <v>3730.3255440637918</v>
      </c>
      <c r="M544" s="306">
        <f t="shared" ca="1" si="248"/>
        <v>1.1303914071044088</v>
      </c>
      <c r="N544" s="304">
        <f t="shared" ca="1" si="249"/>
        <v>64.766656824937087</v>
      </c>
      <c r="P544" s="310">
        <f t="shared" ca="1" si="250"/>
        <v>23</v>
      </c>
      <c r="Q544" s="304">
        <f t="shared" ca="1" si="251"/>
        <v>0</v>
      </c>
      <c r="R544" s="306">
        <f t="shared" ca="1" si="252"/>
        <v>0</v>
      </c>
      <c r="S544" s="307">
        <f t="shared" ca="1" si="253"/>
        <v>5.6519999999999806</v>
      </c>
      <c r="T544" s="304">
        <f t="shared" ca="1" si="233"/>
        <v>55.446119999999816</v>
      </c>
      <c r="U544" s="311">
        <f t="shared" ca="1" si="234"/>
        <v>0</v>
      </c>
      <c r="V544" s="306">
        <f t="shared" ca="1" si="235"/>
        <v>0.84543528985021044</v>
      </c>
      <c r="W544" s="304">
        <f t="shared" ca="1" si="236"/>
        <v>5.5005488268195233</v>
      </c>
      <c r="Y544" s="314" t="str">
        <f t="shared" ca="1" si="254"/>
        <v/>
      </c>
      <c r="Z544" s="315" t="str">
        <f t="shared" ca="1" si="255"/>
        <v/>
      </c>
      <c r="AA544" s="316" t="str">
        <f t="shared" ca="1" si="256"/>
        <v/>
      </c>
      <c r="AC544" s="310">
        <f t="shared" ca="1" si="257"/>
        <v>21.999999999999972</v>
      </c>
      <c r="AD544" s="323">
        <f t="shared" ca="1" si="258"/>
        <v>686.98862051641663</v>
      </c>
      <c r="AE544" s="324">
        <f t="shared" ca="1" si="237"/>
        <v>3666.5208713405377</v>
      </c>
      <c r="AG544" s="306">
        <f t="shared" ca="1" si="259"/>
        <v>-9.9059921828538826</v>
      </c>
      <c r="AH544" s="304">
        <f t="shared" ca="1" si="260"/>
        <v>-1.0047548850452876</v>
      </c>
    </row>
    <row r="545" spans="1:34" x14ac:dyDescent="0.2">
      <c r="A545" s="347">
        <f t="shared" ca="1" si="238"/>
        <v>0.1</v>
      </c>
      <c r="B545" s="304">
        <f t="shared" ca="1" si="239"/>
        <v>22.099999999999973</v>
      </c>
      <c r="D545" s="306">
        <f t="shared" ca="1" si="240"/>
        <v>-0.41488247850344923</v>
      </c>
      <c r="E545" s="307">
        <f t="shared" ca="1" si="241"/>
        <v>-10.690339986739669</v>
      </c>
      <c r="F545" s="304">
        <f t="shared" ca="1" si="242"/>
        <v>10.698387565565863</v>
      </c>
      <c r="G545" s="306">
        <f t="shared" ca="1" si="243"/>
        <v>26.684084242001592</v>
      </c>
      <c r="H545" s="307">
        <f t="shared" ca="1" si="244"/>
        <v>55.640013383115374</v>
      </c>
      <c r="I545" s="304">
        <f t="shared" ca="1" si="245"/>
        <v>61.707790765084887</v>
      </c>
      <c r="J545" s="306">
        <f t="shared" ca="1" si="246"/>
        <v>689.6591033530093</v>
      </c>
      <c r="K545" s="307">
        <f t="shared" ca="1" si="247"/>
        <v>3672.1383243787832</v>
      </c>
      <c r="L545" s="304">
        <f t="shared" ca="1" si="232"/>
        <v>3736.3390574476903</v>
      </c>
      <c r="M545" s="306">
        <f t="shared" ca="1" si="248"/>
        <v>1.1236141563177229</v>
      </c>
      <c r="N545" s="304">
        <f t="shared" ca="1" si="249"/>
        <v>64.37834895815827</v>
      </c>
      <c r="P545" s="310">
        <f t="shared" ca="1" si="250"/>
        <v>23</v>
      </c>
      <c r="Q545" s="304">
        <f t="shared" ca="1" si="251"/>
        <v>0</v>
      </c>
      <c r="R545" s="306">
        <f t="shared" ca="1" si="252"/>
        <v>0</v>
      </c>
      <c r="S545" s="307">
        <f t="shared" ca="1" si="253"/>
        <v>5.6519999999999806</v>
      </c>
      <c r="T545" s="304">
        <f t="shared" ca="1" si="233"/>
        <v>55.446119999999816</v>
      </c>
      <c r="U545" s="311">
        <f t="shared" ca="1" si="234"/>
        <v>0</v>
      </c>
      <c r="V545" s="306">
        <f t="shared" ca="1" si="235"/>
        <v>0.84494397077923833</v>
      </c>
      <c r="W545" s="304">
        <f t="shared" ca="1" si="236"/>
        <v>5.3262552074373737</v>
      </c>
      <c r="Y545" s="314" t="str">
        <f t="shared" ca="1" si="254"/>
        <v/>
      </c>
      <c r="Z545" s="315" t="str">
        <f t="shared" ca="1" si="255"/>
        <v/>
      </c>
      <c r="AA545" s="316" t="str">
        <f t="shared" ca="1" si="256"/>
        <v/>
      </c>
      <c r="AC545" s="310" t="e">
        <f t="shared" ca="1" si="257"/>
        <v>#N/A</v>
      </c>
      <c r="AD545" s="323" t="e">
        <f t="shared" ca="1" si="258"/>
        <v>#N/A</v>
      </c>
      <c r="AE545" s="324">
        <f t="shared" ca="1" si="237"/>
        <v>3672.1383243787832</v>
      </c>
      <c r="AG545" s="306">
        <f t="shared" ca="1" si="259"/>
        <v>-9.8471251133343713</v>
      </c>
      <c r="AH545" s="304">
        <f t="shared" ca="1" si="260"/>
        <v>-0.97320396794400954</v>
      </c>
    </row>
    <row r="546" spans="1:34" x14ac:dyDescent="0.2">
      <c r="A546" s="347">
        <f t="shared" ca="1" si="238"/>
        <v>0.1</v>
      </c>
      <c r="B546" s="304">
        <f t="shared" ca="1" si="239"/>
        <v>22.199999999999974</v>
      </c>
      <c r="D546" s="306">
        <f t="shared" ca="1" si="240"/>
        <v>-0.40750423209314102</v>
      </c>
      <c r="E546" s="307">
        <f t="shared" ca="1" si="241"/>
        <v>-10.659702793684396</v>
      </c>
      <c r="F546" s="304">
        <f t="shared" ca="1" si="242"/>
        <v>10.667489083606167</v>
      </c>
      <c r="G546" s="306">
        <f t="shared" ca="1" si="243"/>
        <v>26.643333818792279</v>
      </c>
      <c r="H546" s="307">
        <f t="shared" ca="1" si="244"/>
        <v>54.574043103746931</v>
      </c>
      <c r="I546" s="304">
        <f t="shared" ca="1" si="245"/>
        <v>60.730498249802203</v>
      </c>
      <c r="J546" s="306">
        <f t="shared" ca="1" si="246"/>
        <v>692.32547425604901</v>
      </c>
      <c r="K546" s="307">
        <f t="shared" ca="1" si="247"/>
        <v>3677.6490272031265</v>
      </c>
      <c r="L546" s="304">
        <f t="shared" ca="1" si="232"/>
        <v>3742.2475772711732</v>
      </c>
      <c r="M546" s="306">
        <f t="shared" ca="1" si="248"/>
        <v>1.1166289699188665</v>
      </c>
      <c r="N546" s="304">
        <f t="shared" ca="1" si="249"/>
        <v>63.978127258391609</v>
      </c>
      <c r="P546" s="310">
        <f t="shared" ca="1" si="250"/>
        <v>23</v>
      </c>
      <c r="Q546" s="304">
        <f t="shared" ca="1" si="251"/>
        <v>0</v>
      </c>
      <c r="R546" s="306">
        <f t="shared" ca="1" si="252"/>
        <v>0</v>
      </c>
      <c r="S546" s="307">
        <f t="shared" ca="1" si="253"/>
        <v>5.6519999999999806</v>
      </c>
      <c r="T546" s="304">
        <f t="shared" ca="1" si="233"/>
        <v>55.446119999999816</v>
      </c>
      <c r="U546" s="311">
        <f t="shared" ca="1" si="234"/>
        <v>0</v>
      </c>
      <c r="V546" s="306">
        <f t="shared" ca="1" si="235"/>
        <v>0.84446221492278051</v>
      </c>
      <c r="W546" s="304">
        <f t="shared" ca="1" si="236"/>
        <v>5.1559414197505697</v>
      </c>
      <c r="Y546" s="314" t="str">
        <f t="shared" ca="1" si="254"/>
        <v/>
      </c>
      <c r="Z546" s="315" t="str">
        <f t="shared" ca="1" si="255"/>
        <v/>
      </c>
      <c r="AA546" s="316" t="str">
        <f t="shared" ca="1" si="256"/>
        <v/>
      </c>
      <c r="AC546" s="310" t="e">
        <f t="shared" ca="1" si="257"/>
        <v>#N/A</v>
      </c>
      <c r="AD546" s="323" t="e">
        <f t="shared" ca="1" si="258"/>
        <v>#N/A</v>
      </c>
      <c r="AE546" s="324">
        <f t="shared" ca="1" si="237"/>
        <v>3677.6490272031265</v>
      </c>
      <c r="AG546" s="306">
        <f t="shared" ca="1" si="259"/>
        <v>-9.7877411566728423</v>
      </c>
      <c r="AH546" s="304">
        <f t="shared" ca="1" si="260"/>
        <v>-0.94236645566832833</v>
      </c>
    </row>
    <row r="547" spans="1:34" x14ac:dyDescent="0.2">
      <c r="A547" s="347">
        <f t="shared" ca="1" si="238"/>
        <v>0.1</v>
      </c>
      <c r="B547" s="304">
        <f t="shared" ca="1" si="239"/>
        <v>22.299999999999976</v>
      </c>
      <c r="D547" s="306">
        <f t="shared" ca="1" si="240"/>
        <v>-0.40020963790232794</v>
      </c>
      <c r="E547" s="307">
        <f t="shared" ca="1" si="241"/>
        <v>-10.62975694850963</v>
      </c>
      <c r="F547" s="304">
        <f t="shared" ca="1" si="242"/>
        <v>10.637288213574863</v>
      </c>
      <c r="G547" s="306">
        <f t="shared" ca="1" si="243"/>
        <v>26.603312855002045</v>
      </c>
      <c r="H547" s="307">
        <f t="shared" ca="1" si="244"/>
        <v>53.511067408895968</v>
      </c>
      <c r="I547" s="304">
        <f t="shared" ca="1" si="245"/>
        <v>59.759272001092228</v>
      </c>
      <c r="J547" s="306">
        <f t="shared" ca="1" si="246"/>
        <v>694.98780658973874</v>
      </c>
      <c r="K547" s="307">
        <f t="shared" ca="1" si="247"/>
        <v>3683.0532827287584</v>
      </c>
      <c r="L547" s="304">
        <f t="shared" ca="1" si="232"/>
        <v>3748.0514317078814</v>
      </c>
      <c r="M547" s="306">
        <f t="shared" ca="1" si="248"/>
        <v>1.109427035116394</v>
      </c>
      <c r="N547" s="304">
        <f t="shared" ca="1" si="249"/>
        <v>63.565486789881547</v>
      </c>
      <c r="P547" s="310">
        <f t="shared" ca="1" si="250"/>
        <v>23</v>
      </c>
      <c r="Q547" s="304">
        <f t="shared" ca="1" si="251"/>
        <v>0</v>
      </c>
      <c r="R547" s="306">
        <f t="shared" ca="1" si="252"/>
        <v>0</v>
      </c>
      <c r="S547" s="307">
        <f t="shared" ca="1" si="253"/>
        <v>5.6519999999999806</v>
      </c>
      <c r="T547" s="304">
        <f t="shared" ca="1" si="233"/>
        <v>55.446119999999816</v>
      </c>
      <c r="U547" s="311">
        <f t="shared" ca="1" si="234"/>
        <v>0</v>
      </c>
      <c r="V547" s="306">
        <f t="shared" ca="1" si="235"/>
        <v>0.84398998262753677</v>
      </c>
      <c r="W547" s="304">
        <f t="shared" ca="1" si="236"/>
        <v>4.989556586103161</v>
      </c>
      <c r="Y547" s="314" t="str">
        <f t="shared" ca="1" si="254"/>
        <v/>
      </c>
      <c r="Z547" s="315" t="str">
        <f t="shared" ca="1" si="255"/>
        <v/>
      </c>
      <c r="AA547" s="316" t="str">
        <f t="shared" ca="1" si="256"/>
        <v/>
      </c>
      <c r="AC547" s="310" t="e">
        <f t="shared" ca="1" si="257"/>
        <v>#N/A</v>
      </c>
      <c r="AD547" s="323" t="e">
        <f t="shared" ca="1" si="258"/>
        <v>#N/A</v>
      </c>
      <c r="AE547" s="324">
        <f t="shared" ca="1" si="237"/>
        <v>3683.0532827287584</v>
      </c>
      <c r="AG547" s="306">
        <f t="shared" ca="1" si="259"/>
        <v>-9.7277603493459228</v>
      </c>
      <c r="AH547" s="304">
        <f t="shared" ca="1" si="260"/>
        <v>-0.91223308912784629</v>
      </c>
    </row>
    <row r="548" spans="1:34" x14ac:dyDescent="0.2">
      <c r="A548" s="347">
        <f t="shared" ca="1" si="238"/>
        <v>0.1</v>
      </c>
      <c r="B548" s="304">
        <f t="shared" ca="1" si="239"/>
        <v>22.399999999999977</v>
      </c>
      <c r="D548" s="306">
        <f t="shared" ca="1" si="240"/>
        <v>-0.39299789366404608</v>
      </c>
      <c r="E548" s="307">
        <f t="shared" ca="1" si="241"/>
        <v>-10.600493157526312</v>
      </c>
      <c r="F548" s="304">
        <f t="shared" ca="1" si="242"/>
        <v>10.607775569231588</v>
      </c>
      <c r="G548" s="306">
        <f t="shared" ca="1" si="243"/>
        <v>26.564013065635642</v>
      </c>
      <c r="H548" s="307">
        <f t="shared" ca="1" si="244"/>
        <v>52.45101809314334</v>
      </c>
      <c r="I548" s="304">
        <f t="shared" ca="1" si="245"/>
        <v>58.794184143999402</v>
      </c>
      <c r="J548" s="306">
        <f t="shared" ca="1" si="246"/>
        <v>697.64617288577062</v>
      </c>
      <c r="K548" s="307">
        <f t="shared" ca="1" si="247"/>
        <v>3688.3513870038605</v>
      </c>
      <c r="L548" s="304">
        <f t="shared" ca="1" si="232"/>
        <v>3753.7509422650119</v>
      </c>
      <c r="M548" s="306">
        <f t="shared" ca="1" si="248"/>
        <v>1.1019990836679807</v>
      </c>
      <c r="N548" s="304">
        <f t="shared" ca="1" si="249"/>
        <v>63.139896521459384</v>
      </c>
      <c r="P548" s="310">
        <f t="shared" ca="1" si="250"/>
        <v>23</v>
      </c>
      <c r="Q548" s="304">
        <f t="shared" ca="1" si="251"/>
        <v>0</v>
      </c>
      <c r="R548" s="306">
        <f t="shared" ca="1" si="252"/>
        <v>0</v>
      </c>
      <c r="S548" s="307">
        <f t="shared" ca="1" si="253"/>
        <v>5.6519999999999806</v>
      </c>
      <c r="T548" s="304">
        <f t="shared" ca="1" si="233"/>
        <v>55.446119999999816</v>
      </c>
      <c r="U548" s="311">
        <f t="shared" ca="1" si="234"/>
        <v>0</v>
      </c>
      <c r="V548" s="306">
        <f t="shared" ca="1" si="235"/>
        <v>0.84352723515756656</v>
      </c>
      <c r="W548" s="304">
        <f t="shared" ca="1" si="236"/>
        <v>4.8270512492675515</v>
      </c>
      <c r="Y548" s="314" t="str">
        <f t="shared" ca="1" si="254"/>
        <v/>
      </c>
      <c r="Z548" s="315" t="str">
        <f t="shared" ca="1" si="255"/>
        <v/>
      </c>
      <c r="AA548" s="316" t="str">
        <f t="shared" ca="1" si="256"/>
        <v/>
      </c>
      <c r="AC548" s="310" t="e">
        <f t="shared" ca="1" si="257"/>
        <v>#N/A</v>
      </c>
      <c r="AD548" s="323" t="e">
        <f t="shared" ca="1" si="258"/>
        <v>#N/A</v>
      </c>
      <c r="AE548" s="324">
        <f t="shared" ca="1" si="237"/>
        <v>3688.3513870038605</v>
      </c>
      <c r="AG548" s="306">
        <f t="shared" ca="1" si="259"/>
        <v>-9.6670981839583607</v>
      </c>
      <c r="AH548" s="304">
        <f t="shared" ca="1" si="260"/>
        <v>-0.88279486661415041</v>
      </c>
    </row>
    <row r="549" spans="1:34" x14ac:dyDescent="0.2">
      <c r="A549" s="347">
        <f t="shared" ca="1" si="238"/>
        <v>0.1</v>
      </c>
      <c r="B549" s="304">
        <f t="shared" ca="1" si="239"/>
        <v>22.499999999999979</v>
      </c>
      <c r="D549" s="306">
        <f t="shared" ca="1" si="240"/>
        <v>-0.38586827495374076</v>
      </c>
      <c r="E549" s="307">
        <f t="shared" ca="1" si="241"/>
        <v>-10.57190234589784</v>
      </c>
      <c r="F549" s="304">
        <f t="shared" ca="1" si="242"/>
        <v>10.57894198570046</v>
      </c>
      <c r="G549" s="306">
        <f t="shared" ca="1" si="243"/>
        <v>26.525426238140266</v>
      </c>
      <c r="H549" s="307">
        <f t="shared" ca="1" si="244"/>
        <v>51.393827858553557</v>
      </c>
      <c r="I549" s="304">
        <f t="shared" ca="1" si="245"/>
        <v>57.835316019450055</v>
      </c>
      <c r="J549" s="306">
        <f t="shared" ca="1" si="246"/>
        <v>700.30064485095943</v>
      </c>
      <c r="K549" s="307">
        <f t="shared" ca="1" si="247"/>
        <v>3693.5436293014454</v>
      </c>
      <c r="L549" s="304">
        <f t="shared" ca="1" si="232"/>
        <v>3759.3464238790184</v>
      </c>
      <c r="M549" s="306">
        <f t="shared" ca="1" si="248"/>
        <v>1.0943353666067255</v>
      </c>
      <c r="N549" s="304">
        <f t="shared" ca="1" si="249"/>
        <v>62.700797878467057</v>
      </c>
      <c r="P549" s="310">
        <f t="shared" ca="1" si="250"/>
        <v>23</v>
      </c>
      <c r="Q549" s="304">
        <f t="shared" ca="1" si="251"/>
        <v>0</v>
      </c>
      <c r="R549" s="306">
        <f t="shared" ca="1" si="252"/>
        <v>0</v>
      </c>
      <c r="S549" s="307">
        <f t="shared" ca="1" si="253"/>
        <v>5.6519999999999806</v>
      </c>
      <c r="T549" s="304">
        <f t="shared" ca="1" si="233"/>
        <v>55.446119999999816</v>
      </c>
      <c r="U549" s="311">
        <f t="shared" ca="1" si="234"/>
        <v>0</v>
      </c>
      <c r="V549" s="306">
        <f t="shared" ca="1" si="235"/>
        <v>0.84307393468161695</v>
      </c>
      <c r="W549" s="304">
        <f t="shared" ca="1" si="236"/>
        <v>4.6683773392909051</v>
      </c>
      <c r="Y549" s="314" t="str">
        <f t="shared" ca="1" si="254"/>
        <v/>
      </c>
      <c r="Z549" s="315" t="str">
        <f t="shared" ca="1" si="255"/>
        <v/>
      </c>
      <c r="AA549" s="316" t="str">
        <f t="shared" ca="1" si="256"/>
        <v/>
      </c>
      <c r="AC549" s="310" t="e">
        <f t="shared" ca="1" si="257"/>
        <v>#N/A</v>
      </c>
      <c r="AD549" s="323" t="e">
        <f t="shared" ca="1" si="258"/>
        <v>#N/A</v>
      </c>
      <c r="AE549" s="324">
        <f t="shared" ca="1" si="237"/>
        <v>3693.5436293014454</v>
      </c>
      <c r="AG549" s="306">
        <f t="shared" ca="1" si="259"/>
        <v>-9.6056652429755207</v>
      </c>
      <c r="AH549" s="304">
        <f t="shared" ca="1" si="260"/>
        <v>-0.85404303773311541</v>
      </c>
    </row>
    <row r="550" spans="1:34" x14ac:dyDescent="0.2">
      <c r="A550" s="347">
        <f t="shared" ca="1" si="238"/>
        <v>0.1</v>
      </c>
      <c r="B550" s="304">
        <f t="shared" ca="1" si="239"/>
        <v>22.59999999999998</v>
      </c>
      <c r="D550" s="306">
        <f t="shared" ca="1" si="240"/>
        <v>-0.37882013758493638</v>
      </c>
      <c r="E550" s="307">
        <f t="shared" ca="1" si="241"/>
        <v>-10.543975649084944</v>
      </c>
      <c r="F550" s="304">
        <f t="shared" ca="1" si="242"/>
        <v>10.55077851085578</v>
      </c>
      <c r="G550" s="306">
        <f t="shared" ca="1" si="243"/>
        <v>26.487544224381772</v>
      </c>
      <c r="H550" s="307">
        <f t="shared" ca="1" si="244"/>
        <v>50.339430293645066</v>
      </c>
      <c r="I550" s="304">
        <f t="shared" ca="1" si="245"/>
        <v>56.882758735203154</v>
      </c>
      <c r="J550" s="306">
        <f t="shared" ca="1" si="246"/>
        <v>702.95129337408548</v>
      </c>
      <c r="K550" s="307">
        <f t="shared" ca="1" si="247"/>
        <v>3698.6302922090554</v>
      </c>
      <c r="L550" s="304">
        <f t="shared" ca="1" si="232"/>
        <v>3764.8381850091173</v>
      </c>
      <c r="M550" s="306">
        <f t="shared" ca="1" si="248"/>
        <v>1.0864256277856514</v>
      </c>
      <c r="N550" s="304">
        <f t="shared" ca="1" si="249"/>
        <v>62.247603226968728</v>
      </c>
      <c r="P550" s="310">
        <f t="shared" ca="1" si="250"/>
        <v>23</v>
      </c>
      <c r="Q550" s="304">
        <f t="shared" ca="1" si="251"/>
        <v>0</v>
      </c>
      <c r="R550" s="306">
        <f t="shared" ca="1" si="252"/>
        <v>0</v>
      </c>
      <c r="S550" s="307">
        <f t="shared" ca="1" si="253"/>
        <v>5.6519999999999806</v>
      </c>
      <c r="T550" s="304">
        <f t="shared" ca="1" si="233"/>
        <v>55.446119999999816</v>
      </c>
      <c r="U550" s="311">
        <f t="shared" ca="1" si="234"/>
        <v>0</v>
      </c>
      <c r="V550" s="306">
        <f t="shared" ca="1" si="235"/>
        <v>0.84263004426077714</v>
      </c>
      <c r="W550" s="304">
        <f t="shared" ca="1" si="236"/>
        <v>4.5134881414403543</v>
      </c>
      <c r="Y550" s="314" t="str">
        <f t="shared" ca="1" si="254"/>
        <v/>
      </c>
      <c r="Z550" s="315" t="str">
        <f t="shared" ca="1" si="255"/>
        <v/>
      </c>
      <c r="AA550" s="316" t="str">
        <f t="shared" ca="1" si="256"/>
        <v/>
      </c>
      <c r="AC550" s="310" t="e">
        <f t="shared" ca="1" si="257"/>
        <v>#N/A</v>
      </c>
      <c r="AD550" s="323" t="e">
        <f t="shared" ca="1" si="258"/>
        <v>#N/A</v>
      </c>
      <c r="AE550" s="324">
        <f t="shared" ca="1" si="237"/>
        <v>3698.6302922090554</v>
      </c>
      <c r="AG550" s="306">
        <f t="shared" ca="1" si="259"/>
        <v>-9.5433668052451637</v>
      </c>
      <c r="AH550" s="304">
        <f t="shared" ca="1" si="260"/>
        <v>-0.8259690975390872</v>
      </c>
    </row>
    <row r="551" spans="1:34" x14ac:dyDescent="0.2">
      <c r="A551" s="347">
        <f t="shared" ca="1" si="238"/>
        <v>0.1</v>
      </c>
      <c r="B551" s="304">
        <f t="shared" ca="1" si="239"/>
        <v>22.699999999999982</v>
      </c>
      <c r="D551" s="306">
        <f t="shared" ca="1" si="240"/>
        <v>-0.3718529202780152</v>
      </c>
      <c r="E551" s="307">
        <f t="shared" ca="1" si="241"/>
        <v>-10.516704404200402</v>
      </c>
      <c r="F551" s="304">
        <f t="shared" ca="1" si="242"/>
        <v>10.523276396619421</v>
      </c>
      <c r="G551" s="306">
        <f t="shared" ca="1" si="243"/>
        <v>26.450358932353971</v>
      </c>
      <c r="H551" s="307">
        <f t="shared" ca="1" si="244"/>
        <v>49.287759853225026</v>
      </c>
      <c r="I551" s="304">
        <f t="shared" ca="1" si="245"/>
        <v>55.936613760573117</v>
      </c>
      <c r="J551" s="306">
        <f t="shared" ca="1" si="246"/>
        <v>705.59818853192223</v>
      </c>
      <c r="K551" s="307">
        <f t="shared" ca="1" si="247"/>
        <v>3703.6116517163987</v>
      </c>
      <c r="L551" s="304">
        <f t="shared" ca="1" si="232"/>
        <v>3770.2265277286724</v>
      </c>
      <c r="M551" s="306">
        <f t="shared" ca="1" si="248"/>
        <v>1.0782590762555355</v>
      </c>
      <c r="N551" s="304">
        <f t="shared" ca="1" si="249"/>
        <v>61.779694291116982</v>
      </c>
      <c r="P551" s="310">
        <f t="shared" ca="1" si="250"/>
        <v>23</v>
      </c>
      <c r="Q551" s="304">
        <f t="shared" ca="1" si="251"/>
        <v>0</v>
      </c>
      <c r="R551" s="306">
        <f t="shared" ca="1" si="252"/>
        <v>0</v>
      </c>
      <c r="S551" s="307">
        <f t="shared" ca="1" si="253"/>
        <v>5.6519999999999806</v>
      </c>
      <c r="T551" s="304">
        <f t="shared" ca="1" si="233"/>
        <v>55.446119999999816</v>
      </c>
      <c r="U551" s="311">
        <f t="shared" ca="1" si="234"/>
        <v>0</v>
      </c>
      <c r="V551" s="306">
        <f t="shared" ca="1" si="235"/>
        <v>0.84219552783644558</v>
      </c>
      <c r="W551" s="304">
        <f t="shared" ca="1" si="236"/>
        <v>4.362338265206108</v>
      </c>
      <c r="Y551" s="314" t="str">
        <f t="shared" ca="1" si="254"/>
        <v/>
      </c>
      <c r="Z551" s="315" t="str">
        <f t="shared" ca="1" si="255"/>
        <v/>
      </c>
      <c r="AA551" s="316" t="str">
        <f t="shared" ca="1" si="256"/>
        <v/>
      </c>
      <c r="AC551" s="310" t="e">
        <f t="shared" ca="1" si="257"/>
        <v>#N/A</v>
      </c>
      <c r="AD551" s="323" t="e">
        <f t="shared" ca="1" si="258"/>
        <v>#N/A</v>
      </c>
      <c r="AE551" s="324">
        <f t="shared" ca="1" si="237"/>
        <v>3703.6116517163987</v>
      </c>
      <c r="AG551" s="306">
        <f t="shared" ca="1" si="259"/>
        <v>-9.480102423569976</v>
      </c>
      <c r="AH551" s="304">
        <f t="shared" ca="1" si="260"/>
        <v>-0.7985647808634766</v>
      </c>
    </row>
    <row r="552" spans="1:34" x14ac:dyDescent="0.2">
      <c r="A552" s="347">
        <f t="shared" ca="1" si="238"/>
        <v>0.1</v>
      </c>
      <c r="B552" s="304">
        <f t="shared" ca="1" si="239"/>
        <v>22.799999999999983</v>
      </c>
      <c r="D552" s="306">
        <f t="shared" ca="1" si="240"/>
        <v>-0.36496614761947821</v>
      </c>
      <c r="E552" s="307">
        <f t="shared" ca="1" si="241"/>
        <v>-10.490080141234765</v>
      </c>
      <c r="F552" s="304">
        <f t="shared" ca="1" si="242"/>
        <v>10.496427090131013</v>
      </c>
      <c r="G552" s="306">
        <f t="shared" ca="1" si="243"/>
        <v>26.413862317592024</v>
      </c>
      <c r="H552" s="307">
        <f t="shared" ca="1" si="244"/>
        <v>48.238751839101546</v>
      </c>
      <c r="I552" s="304">
        <f t="shared" ca="1" si="245"/>
        <v>54.996993568077251</v>
      </c>
      <c r="J552" s="306">
        <f t="shared" ca="1" si="246"/>
        <v>708.24139959441948</v>
      </c>
      <c r="K552" s="307">
        <f t="shared" ca="1" si="247"/>
        <v>3708.4879773010152</v>
      </c>
      <c r="L552" s="304">
        <f t="shared" ca="1" si="232"/>
        <v>3775.5117478145448</v>
      </c>
      <c r="M552" s="306">
        <f t="shared" ca="1" si="248"/>
        <v>1.0698243575110331</v>
      </c>
      <c r="N552" s="304">
        <f t="shared" ca="1" si="249"/>
        <v>61.296420505677112</v>
      </c>
      <c r="P552" s="310">
        <f t="shared" ca="1" si="250"/>
        <v>23</v>
      </c>
      <c r="Q552" s="304">
        <f t="shared" ca="1" si="251"/>
        <v>0</v>
      </c>
      <c r="R552" s="306">
        <f t="shared" ca="1" si="252"/>
        <v>0</v>
      </c>
      <c r="S552" s="307">
        <f t="shared" ca="1" si="253"/>
        <v>5.6519999999999806</v>
      </c>
      <c r="T552" s="304">
        <f t="shared" ca="1" si="233"/>
        <v>55.446119999999816</v>
      </c>
      <c r="U552" s="311">
        <f t="shared" ca="1" si="234"/>
        <v>0</v>
      </c>
      <c r="V552" s="306">
        <f t="shared" ca="1" si="235"/>
        <v>0.84177035021860491</v>
      </c>
      <c r="W552" s="304">
        <f t="shared" ca="1" si="236"/>
        <v>4.2148836143228827</v>
      </c>
      <c r="Y552" s="314" t="str">
        <f t="shared" ca="1" si="254"/>
        <v/>
      </c>
      <c r="Z552" s="315" t="str">
        <f t="shared" ca="1" si="255"/>
        <v/>
      </c>
      <c r="AA552" s="316" t="str">
        <f t="shared" ca="1" si="256"/>
        <v/>
      </c>
      <c r="AC552" s="310" t="e">
        <f t="shared" ca="1" si="257"/>
        <v>#N/A</v>
      </c>
      <c r="AD552" s="323" t="e">
        <f t="shared" ca="1" si="258"/>
        <v>#N/A</v>
      </c>
      <c r="AE552" s="324">
        <f t="shared" ca="1" si="237"/>
        <v>3708.4879773010152</v>
      </c>
      <c r="AG552" s="306">
        <f t="shared" ca="1" si="259"/>
        <v>-9.4157654715987107</v>
      </c>
      <c r="AH552" s="304">
        <f t="shared" ca="1" si="260"/>
        <v>-0.77182205683052418</v>
      </c>
    </row>
    <row r="553" spans="1:34" x14ac:dyDescent="0.2">
      <c r="A553" s="347">
        <f t="shared" ca="1" si="238"/>
        <v>0.1</v>
      </c>
      <c r="B553" s="304">
        <f t="shared" ca="1" si="239"/>
        <v>22.899999999999984</v>
      </c>
      <c r="D553" s="306">
        <f t="shared" ca="1" si="240"/>
        <v>-0.35815943333012457</v>
      </c>
      <c r="E553" s="307">
        <f t="shared" ca="1" si="241"/>
        <v>-10.464094574110742</v>
      </c>
      <c r="F553" s="304">
        <f t="shared" ca="1" si="242"/>
        <v>10.47022222474849</v>
      </c>
      <c r="G553" s="306">
        <f t="shared" ca="1" si="243"/>
        <v>26.378046374259011</v>
      </c>
      <c r="H553" s="307">
        <f t="shared" ca="1" si="244"/>
        <v>47.192342381690473</v>
      </c>
      <c r="I553" s="304">
        <f t="shared" ca="1" si="245"/>
        <v>54.064022325325162</v>
      </c>
      <c r="J553" s="306">
        <f t="shared" ca="1" si="246"/>
        <v>710.88099502901207</v>
      </c>
      <c r="K553" s="307">
        <f t="shared" ca="1" si="247"/>
        <v>3713.2595320120549</v>
      </c>
      <c r="L553" s="304">
        <f t="shared" ca="1" si="232"/>
        <v>3780.6941348344781</v>
      </c>
      <c r="M553" s="306">
        <f t="shared" ca="1" si="248"/>
        <v>1.0611095236647978</v>
      </c>
      <c r="N553" s="304">
        <f t="shared" ca="1" si="249"/>
        <v>60.797097307130066</v>
      </c>
      <c r="P553" s="310">
        <f t="shared" ca="1" si="250"/>
        <v>23</v>
      </c>
      <c r="Q553" s="304">
        <f t="shared" ca="1" si="251"/>
        <v>0</v>
      </c>
      <c r="R553" s="306">
        <f t="shared" ca="1" si="252"/>
        <v>0</v>
      </c>
      <c r="S553" s="307">
        <f t="shared" ca="1" si="253"/>
        <v>5.6519999999999806</v>
      </c>
      <c r="T553" s="304">
        <f t="shared" ca="1" si="233"/>
        <v>55.446119999999816</v>
      </c>
      <c r="U553" s="311">
        <f t="shared" ca="1" si="234"/>
        <v>0</v>
      </c>
      <c r="V553" s="306">
        <f t="shared" ca="1" si="235"/>
        <v>0.84135447707438737</v>
      </c>
      <c r="W553" s="304">
        <f t="shared" ca="1" si="236"/>
        <v>4.0710813577711109</v>
      </c>
      <c r="Y553" s="314" t="str">
        <f t="shared" ca="1" si="254"/>
        <v/>
      </c>
      <c r="Z553" s="315" t="str">
        <f t="shared" ca="1" si="255"/>
        <v/>
      </c>
      <c r="AA553" s="316" t="str">
        <f t="shared" ca="1" si="256"/>
        <v/>
      </c>
      <c r="AC553" s="310" t="e">
        <f t="shared" ca="1" si="257"/>
        <v>#N/A</v>
      </c>
      <c r="AD553" s="323" t="e">
        <f t="shared" ca="1" si="258"/>
        <v>#N/A</v>
      </c>
      <c r="AE553" s="324">
        <f t="shared" ca="1" si="237"/>
        <v>3713.2595320120549</v>
      </c>
      <c r="AG553" s="306">
        <f t="shared" ca="1" si="259"/>
        <v>-9.3502426583483498</v>
      </c>
      <c r="AH553" s="304">
        <f t="shared" ca="1" si="260"/>
        <v>-0.74573312355323729</v>
      </c>
    </row>
    <row r="554" spans="1:34" x14ac:dyDescent="0.2">
      <c r="A554" s="347">
        <f t="shared" ca="1" si="238"/>
        <v>0.1</v>
      </c>
      <c r="B554" s="304">
        <f t="shared" ca="1" si="239"/>
        <v>22.999999999999986</v>
      </c>
      <c r="D554" s="306">
        <f t="shared" ca="1" si="240"/>
        <v>-0.35143248386160525</v>
      </c>
      <c r="E554" s="307">
        <f t="shared" ca="1" si="241"/>
        <v>-10.438739591519909</v>
      </c>
      <c r="F554" s="304">
        <f t="shared" ca="1" si="242"/>
        <v>10.444653610832596</v>
      </c>
      <c r="G554" s="306">
        <f t="shared" ca="1" si="243"/>
        <v>26.342903125872851</v>
      </c>
      <c r="H554" s="307">
        <f t="shared" ca="1" si="244"/>
        <v>46.148468422538485</v>
      </c>
      <c r="I554" s="304">
        <f t="shared" ca="1" si="245"/>
        <v>53.137836640619398</v>
      </c>
      <c r="J554" s="306">
        <f t="shared" ca="1" si="246"/>
        <v>713.51704250401872</v>
      </c>
      <c r="K554" s="307">
        <f t="shared" ca="1" si="247"/>
        <v>3717.9265725522664</v>
      </c>
      <c r="L554" s="304">
        <f t="shared" ca="1" si="232"/>
        <v>3785.7739722326164</v>
      </c>
      <c r="M554" s="306">
        <f t="shared" ca="1" si="248"/>
        <v>1.0521020026399255</v>
      </c>
      <c r="N554" s="304">
        <f t="shared" ca="1" si="249"/>
        <v>60.28100436852953</v>
      </c>
      <c r="P554" s="310">
        <f t="shared" ca="1" si="250"/>
        <v>23</v>
      </c>
      <c r="Q554" s="304">
        <f t="shared" ca="1" si="251"/>
        <v>0</v>
      </c>
      <c r="R554" s="306">
        <f t="shared" ca="1" si="252"/>
        <v>0</v>
      </c>
      <c r="S554" s="307">
        <f t="shared" ca="1" si="253"/>
        <v>5.6519999999999806</v>
      </c>
      <c r="T554" s="304">
        <f t="shared" ca="1" si="233"/>
        <v>55.446119999999816</v>
      </c>
      <c r="U554" s="311">
        <f t="shared" ca="1" si="234"/>
        <v>0</v>
      </c>
      <c r="V554" s="306">
        <f t="shared" ca="1" si="235"/>
        <v>0.84094787491692413</v>
      </c>
      <c r="W554" s="304">
        <f t="shared" ca="1" si="236"/>
        <v>3.9308899017205112</v>
      </c>
      <c r="Y554" s="314" t="str">
        <f t="shared" ca="1" si="254"/>
        <v/>
      </c>
      <c r="Z554" s="315" t="str">
        <f t="shared" ca="1" si="255"/>
        <v/>
      </c>
      <c r="AA554" s="316" t="str">
        <f t="shared" ca="1" si="256"/>
        <v/>
      </c>
      <c r="AC554" s="310">
        <f t="shared" ca="1" si="257"/>
        <v>22.999999999999986</v>
      </c>
      <c r="AD554" s="323">
        <f t="shared" ca="1" si="258"/>
        <v>713.51704250401872</v>
      </c>
      <c r="AE554" s="324">
        <f t="shared" ca="1" si="237"/>
        <v>3717.9265725522664</v>
      </c>
      <c r="AG554" s="306">
        <f t="shared" ca="1" si="259"/>
        <v>-9.2834135087639176</v>
      </c>
      <c r="AH554" s="304">
        <f t="shared" ca="1" si="260"/>
        <v>-0.72029040300267599</v>
      </c>
    </row>
    <row r="555" spans="1:34" x14ac:dyDescent="0.2">
      <c r="A555" s="347">
        <f t="shared" ca="1" si="238"/>
        <v>0.1</v>
      </c>
      <c r="B555" s="304">
        <f t="shared" ca="1" si="239"/>
        <v>23.099999999999987</v>
      </c>
      <c r="D555" s="306">
        <f t="shared" ca="1" si="240"/>
        <v>-0.34478510234175108</v>
      </c>
      <c r="E555" s="307">
        <f t="shared" ca="1" si="241"/>
        <v>-10.41400724749098</v>
      </c>
      <c r="F555" s="304">
        <f t="shared" ca="1" si="242"/>
        <v>10.419713226264506</v>
      </c>
      <c r="G555" s="306">
        <f t="shared" ca="1" si="243"/>
        <v>26.308424615638675</v>
      </c>
      <c r="H555" s="307">
        <f t="shared" ca="1" si="244"/>
        <v>45.10706769778939</v>
      </c>
      <c r="I555" s="304">
        <f t="shared" ca="1" si="245"/>
        <v>52.218586365868788</v>
      </c>
      <c r="J555" s="306">
        <f t="shared" ca="1" si="246"/>
        <v>716.14960889109432</v>
      </c>
      <c r="K555" s="307">
        <f t="shared" ca="1" si="247"/>
        <v>3722.4893493582827</v>
      </c>
      <c r="L555" s="304">
        <f t="shared" ca="1" si="232"/>
        <v>3790.7515374132236</v>
      </c>
      <c r="M555" s="306">
        <f t="shared" ca="1" si="248"/>
        <v>1.0427885665086953</v>
      </c>
      <c r="N555" s="304">
        <f t="shared" ca="1" si="249"/>
        <v>59.747383785445386</v>
      </c>
      <c r="P555" s="310">
        <f t="shared" ca="1" si="250"/>
        <v>23</v>
      </c>
      <c r="Q555" s="304">
        <f t="shared" ca="1" si="251"/>
        <v>0</v>
      </c>
      <c r="R555" s="306">
        <f t="shared" ca="1" si="252"/>
        <v>0</v>
      </c>
      <c r="S555" s="307">
        <f t="shared" ca="1" si="253"/>
        <v>5.6519999999999806</v>
      </c>
      <c r="T555" s="304">
        <f t="shared" ca="1" si="233"/>
        <v>55.446119999999816</v>
      </c>
      <c r="U555" s="311">
        <f t="shared" ca="1" si="234"/>
        <v>0</v>
      </c>
      <c r="V555" s="306">
        <f t="shared" ca="1" si="235"/>
        <v>0.84055051109446499</v>
      </c>
      <c r="W555" s="304">
        <f t="shared" ca="1" si="236"/>
        <v>3.7942688623794689</v>
      </c>
      <c r="Y555" s="314" t="str">
        <f t="shared" ca="1" si="254"/>
        <v/>
      </c>
      <c r="Z555" s="315" t="str">
        <f t="shared" ca="1" si="255"/>
        <v/>
      </c>
      <c r="AA555" s="316" t="str">
        <f t="shared" ca="1" si="256"/>
        <v/>
      </c>
      <c r="AC555" s="310" t="e">
        <f t="shared" ca="1" si="257"/>
        <v>#N/A</v>
      </c>
      <c r="AD555" s="323" t="e">
        <f t="shared" ca="1" si="258"/>
        <v>#N/A</v>
      </c>
      <c r="AE555" s="324">
        <f t="shared" ca="1" si="237"/>
        <v>3722.4893493582827</v>
      </c>
      <c r="AG555" s="306">
        <f t="shared" ca="1" si="259"/>
        <v>-9.215149808881069</v>
      </c>
      <c r="AH555" s="304">
        <f t="shared" ca="1" si="260"/>
        <v>-0.69548653604397115</v>
      </c>
    </row>
    <row r="556" spans="1:34" x14ac:dyDescent="0.2">
      <c r="A556" s="347">
        <f t="shared" ca="1" si="238"/>
        <v>0.1</v>
      </c>
      <c r="B556" s="304">
        <f t="shared" ca="1" si="239"/>
        <v>23.199999999999989</v>
      </c>
      <c r="D556" s="306">
        <f t="shared" ca="1" si="240"/>
        <v>-0.33821719288987756</v>
      </c>
      <c r="E556" s="307">
        <f t="shared" ca="1" si="241"/>
        <v>-10.389889751633829</v>
      </c>
      <c r="F556" s="304">
        <f t="shared" ca="1" si="242"/>
        <v>10.395393206640717</v>
      </c>
      <c r="G556" s="306">
        <f t="shared" ca="1" si="243"/>
        <v>26.274602896349688</v>
      </c>
      <c r="H556" s="307">
        <f t="shared" ca="1" si="244"/>
        <v>44.068078722626005</v>
      </c>
      <c r="I556" s="304">
        <f t="shared" ca="1" si="245"/>
        <v>51.306435460519282</v>
      </c>
      <c r="J556" s="306">
        <f t="shared" ca="1" si="246"/>
        <v>718.77876026669378</v>
      </c>
      <c r="K556" s="307">
        <f t="shared" ca="1" si="247"/>
        <v>3726.9481066793032</v>
      </c>
      <c r="L556" s="304">
        <f t="shared" ca="1" si="232"/>
        <v>3795.6271018226971</v>
      </c>
      <c r="M556" s="306">
        <f t="shared" ca="1" si="248"/>
        <v>1.0331552991515398</v>
      </c>
      <c r="N556" s="304">
        <f t="shared" ca="1" si="249"/>
        <v>59.195438222959233</v>
      </c>
      <c r="P556" s="310">
        <f t="shared" ca="1" si="250"/>
        <v>23</v>
      </c>
      <c r="Q556" s="304">
        <f t="shared" ca="1" si="251"/>
        <v>0</v>
      </c>
      <c r="R556" s="306">
        <f t="shared" ca="1" si="252"/>
        <v>0</v>
      </c>
      <c r="S556" s="307">
        <f t="shared" ca="1" si="253"/>
        <v>5.6519999999999806</v>
      </c>
      <c r="T556" s="304">
        <f t="shared" ca="1" si="233"/>
        <v>55.446119999999816</v>
      </c>
      <c r="U556" s="311">
        <f t="shared" ca="1" si="234"/>
        <v>0</v>
      </c>
      <c r="V556" s="306">
        <f t="shared" ca="1" si="235"/>
        <v>0.84016235377975801</v>
      </c>
      <c r="W556" s="304">
        <f t="shared" ca="1" si="236"/>
        <v>3.6611790397145172</v>
      </c>
      <c r="Y556" s="314" t="str">
        <f t="shared" ca="1" si="254"/>
        <v/>
      </c>
      <c r="Z556" s="315" t="str">
        <f t="shared" ca="1" si="255"/>
        <v/>
      </c>
      <c r="AA556" s="316" t="str">
        <f t="shared" ca="1" si="256"/>
        <v/>
      </c>
      <c r="AC556" s="310" t="e">
        <f t="shared" ca="1" si="257"/>
        <v>#N/A</v>
      </c>
      <c r="AD556" s="323" t="e">
        <f t="shared" ca="1" si="258"/>
        <v>#N/A</v>
      </c>
      <c r="AE556" s="324">
        <f t="shared" ca="1" si="237"/>
        <v>3726.9481066793032</v>
      </c>
      <c r="AG556" s="306">
        <f t="shared" ca="1" si="259"/>
        <v>-9.1453150143971023</v>
      </c>
      <c r="AH556" s="304">
        <f t="shared" ca="1" si="260"/>
        <v>-0.67131437763260471</v>
      </c>
    </row>
    <row r="557" spans="1:34" x14ac:dyDescent="0.2">
      <c r="A557" s="347">
        <f t="shared" ca="1" si="238"/>
        <v>0.1</v>
      </c>
      <c r="B557" s="304">
        <f t="shared" ca="1" si="239"/>
        <v>23.29999999999999</v>
      </c>
      <c r="D557" s="306">
        <f t="shared" ca="1" si="240"/>
        <v>-0.33172876532390549</v>
      </c>
      <c r="E557" s="307">
        <f t="shared" ca="1" si="241"/>
        <v>-10.366379458997812</v>
      </c>
      <c r="F557" s="304">
        <f t="shared" ca="1" si="242"/>
        <v>10.371685835083662</v>
      </c>
      <c r="G557" s="306">
        <f t="shared" ca="1" si="243"/>
        <v>26.241430019817297</v>
      </c>
      <c r="H557" s="307">
        <f t="shared" ca="1" si="244"/>
        <v>43.031440776726221</v>
      </c>
      <c r="I557" s="304">
        <f t="shared" ca="1" si="245"/>
        <v>50.401562920269292</v>
      </c>
      <c r="J557" s="306">
        <f t="shared" ca="1" si="246"/>
        <v>721.40456191250212</v>
      </c>
      <c r="K557" s="307">
        <f t="shared" ca="1" si="247"/>
        <v>3731.3030826542708</v>
      </c>
      <c r="L557" s="304">
        <f t="shared" ca="1" si="232"/>
        <v>3800.4009310299662</v>
      </c>
      <c r="M557" s="306">
        <f t="shared" ca="1" si="248"/>
        <v>1.0231875634659995</v>
      </c>
      <c r="N557" s="304">
        <f t="shared" ca="1" si="249"/>
        <v>58.624329036875835</v>
      </c>
      <c r="P557" s="310">
        <f t="shared" ca="1" si="250"/>
        <v>23</v>
      </c>
      <c r="Q557" s="304">
        <f t="shared" ca="1" si="251"/>
        <v>0</v>
      </c>
      <c r="R557" s="306">
        <f t="shared" ca="1" si="252"/>
        <v>0</v>
      </c>
      <c r="S557" s="307">
        <f t="shared" ca="1" si="253"/>
        <v>5.6519999999999806</v>
      </c>
      <c r="T557" s="304">
        <f t="shared" ca="1" si="233"/>
        <v>55.446119999999816</v>
      </c>
      <c r="U557" s="311">
        <f t="shared" ca="1" si="234"/>
        <v>0</v>
      </c>
      <c r="V557" s="306">
        <f t="shared" ca="1" si="235"/>
        <v>0.83978337195967867</v>
      </c>
      <c r="W557" s="304">
        <f t="shared" ca="1" si="236"/>
        <v>3.531582392004891</v>
      </c>
      <c r="Y557" s="314" t="str">
        <f t="shared" ca="1" si="254"/>
        <v/>
      </c>
      <c r="Z557" s="315" t="str">
        <f t="shared" ca="1" si="255"/>
        <v/>
      </c>
      <c r="AA557" s="316" t="str">
        <f t="shared" ca="1" si="256"/>
        <v/>
      </c>
      <c r="AC557" s="310" t="e">
        <f t="shared" ca="1" si="257"/>
        <v>#N/A</v>
      </c>
      <c r="AD557" s="323" t="e">
        <f t="shared" ca="1" si="258"/>
        <v>#N/A</v>
      </c>
      <c r="AE557" s="324">
        <f t="shared" ca="1" si="237"/>
        <v>3731.3030826542708</v>
      </c>
      <c r="AG557" s="306">
        <f t="shared" ca="1" si="259"/>
        <v>-9.073763621800417</v>
      </c>
      <c r="AH557" s="304">
        <f t="shared" ca="1" si="260"/>
        <v>-0.64776699216463729</v>
      </c>
    </row>
    <row r="558" spans="1:34" x14ac:dyDescent="0.2">
      <c r="A558" s="347">
        <f t="shared" ca="1" si="238"/>
        <v>0.1</v>
      </c>
      <c r="B558" s="304">
        <f t="shared" ca="1" si="239"/>
        <v>23.399999999999991</v>
      </c>
      <c r="D558" s="306">
        <f t="shared" ca="1" si="240"/>
        <v>-0.3253199402815003</v>
      </c>
      <c r="E558" s="307">
        <f t="shared" ca="1" si="241"/>
        <v>-10.343468859476774</v>
      </c>
      <c r="F558" s="304">
        <f t="shared" ca="1" si="242"/>
        <v>10.348583531600376</v>
      </c>
      <c r="G558" s="306">
        <f t="shared" ca="1" si="243"/>
        <v>26.208898025789146</v>
      </c>
      <c r="H558" s="307">
        <f t="shared" ca="1" si="244"/>
        <v>41.997093890778544</v>
      </c>
      <c r="I558" s="304">
        <f t="shared" ca="1" si="245"/>
        <v>49.5041637743441</v>
      </c>
      <c r="J558" s="306">
        <f t="shared" ca="1" si="246"/>
        <v>724.02707831478244</v>
      </c>
      <c r="K558" s="307">
        <f t="shared" ca="1" si="247"/>
        <v>3735.5545093876462</v>
      </c>
      <c r="L558" s="304">
        <f t="shared" ca="1" si="232"/>
        <v>3805.0732848053558</v>
      </c>
      <c r="M558" s="306">
        <f t="shared" ca="1" si="248"/>
        <v>1.0128699684228228</v>
      </c>
      <c r="N558" s="304">
        <f t="shared" ca="1" si="249"/>
        <v>58.033174386176711</v>
      </c>
      <c r="P558" s="310">
        <f t="shared" ca="1" si="250"/>
        <v>23</v>
      </c>
      <c r="Q558" s="304">
        <f t="shared" ca="1" si="251"/>
        <v>0</v>
      </c>
      <c r="R558" s="306">
        <f t="shared" ca="1" si="252"/>
        <v>0</v>
      </c>
      <c r="S558" s="307">
        <f t="shared" ca="1" si="253"/>
        <v>5.6519999999999806</v>
      </c>
      <c r="T558" s="304">
        <f t="shared" ca="1" si="233"/>
        <v>55.446119999999816</v>
      </c>
      <c r="U558" s="311">
        <f t="shared" ca="1" si="234"/>
        <v>0</v>
      </c>
      <c r="V558" s="306">
        <f t="shared" ca="1" si="235"/>
        <v>0.83941353542509478</v>
      </c>
      <c r="W558" s="304">
        <f t="shared" ca="1" si="236"/>
        <v>3.4054420111977328</v>
      </c>
      <c r="Y558" s="314" t="str">
        <f t="shared" ca="1" si="254"/>
        <v/>
      </c>
      <c r="Z558" s="315" t="str">
        <f t="shared" ca="1" si="255"/>
        <v/>
      </c>
      <c r="AA558" s="316" t="str">
        <f t="shared" ca="1" si="256"/>
        <v/>
      </c>
      <c r="AC558" s="310" t="e">
        <f t="shared" ca="1" si="257"/>
        <v>#N/A</v>
      </c>
      <c r="AD558" s="323" t="e">
        <f t="shared" ca="1" si="258"/>
        <v>#N/A</v>
      </c>
      <c r="AE558" s="324">
        <f t="shared" ca="1" si="237"/>
        <v>3735.5545093876462</v>
      </c>
      <c r="AG558" s="306">
        <f t="shared" ca="1" si="259"/>
        <v>-9.0003405016832172</v>
      </c>
      <c r="AH558" s="304">
        <f t="shared" ca="1" si="260"/>
        <v>-0.62483764897468208</v>
      </c>
    </row>
    <row r="559" spans="1:34" x14ac:dyDescent="0.2">
      <c r="A559" s="347">
        <f t="shared" ca="1" si="238"/>
        <v>0.1</v>
      </c>
      <c r="B559" s="304">
        <f t="shared" ca="1" si="239"/>
        <v>23.499999999999993</v>
      </c>
      <c r="D559" s="306">
        <f t="shared" ca="1" si="240"/>
        <v>-0.31899095477746325</v>
      </c>
      <c r="E559" s="307">
        <f t="shared" ca="1" si="241"/>
        <v>-10.32115056668602</v>
      </c>
      <c r="F559" s="304">
        <f t="shared" ca="1" si="242"/>
        <v>10.326078841914436</v>
      </c>
      <c r="G559" s="306">
        <f t="shared" ca="1" si="243"/>
        <v>26.176998930311399</v>
      </c>
      <c r="H559" s="307">
        <f t="shared" ca="1" si="244"/>
        <v>40.964978834109942</v>
      </c>
      <c r="I559" s="304">
        <f t="shared" ca="1" si="245"/>
        <v>48.614450155037233</v>
      </c>
      <c r="J559" s="306">
        <f t="shared" ca="1" si="246"/>
        <v>726.64637316258745</v>
      </c>
      <c r="K559" s="307">
        <f t="shared" ca="1" si="247"/>
        <v>3739.7026130238905</v>
      </c>
      <c r="L559" s="304">
        <f t="shared" ca="1" si="232"/>
        <v>3809.644417198022</v>
      </c>
      <c r="M559" s="306">
        <f t="shared" ca="1" si="248"/>
        <v>1.002186336347376</v>
      </c>
      <c r="N559" s="304">
        <f t="shared" ca="1" si="249"/>
        <v>57.421047358383014</v>
      </c>
      <c r="P559" s="310">
        <f t="shared" ca="1" si="250"/>
        <v>23</v>
      </c>
      <c r="Q559" s="304">
        <f t="shared" ca="1" si="251"/>
        <v>0</v>
      </c>
      <c r="R559" s="306">
        <f t="shared" ca="1" si="252"/>
        <v>0</v>
      </c>
      <c r="S559" s="307">
        <f t="shared" ca="1" si="253"/>
        <v>5.6519999999999806</v>
      </c>
      <c r="T559" s="304">
        <f t="shared" ca="1" si="233"/>
        <v>55.446119999999816</v>
      </c>
      <c r="U559" s="311">
        <f t="shared" ca="1" si="234"/>
        <v>0</v>
      </c>
      <c r="V559" s="306">
        <f t="shared" ca="1" si="235"/>
        <v>0.83905281476095683</v>
      </c>
      <c r="W559" s="304">
        <f t="shared" ca="1" si="236"/>
        <v>3.2827220990299524</v>
      </c>
      <c r="Y559" s="314" t="str">
        <f t="shared" ca="1" si="254"/>
        <v/>
      </c>
      <c r="Z559" s="315" t="str">
        <f t="shared" ca="1" si="255"/>
        <v/>
      </c>
      <c r="AA559" s="316" t="str">
        <f t="shared" ca="1" si="256"/>
        <v/>
      </c>
      <c r="AC559" s="310" t="e">
        <f t="shared" ca="1" si="257"/>
        <v>#N/A</v>
      </c>
      <c r="AD559" s="323" t="e">
        <f t="shared" ca="1" si="258"/>
        <v>#N/A</v>
      </c>
      <c r="AE559" s="324">
        <f t="shared" ca="1" si="237"/>
        <v>3739.7026130238905</v>
      </c>
      <c r="AG559" s="306">
        <f t="shared" ca="1" si="259"/>
        <v>-8.9248801944991634</v>
      </c>
      <c r="AH559" s="304">
        <f t="shared" ca="1" si="260"/>
        <v>-0.60251981797553866</v>
      </c>
    </row>
    <row r="560" spans="1:34" x14ac:dyDescent="0.2">
      <c r="A560" s="347">
        <f t="shared" ca="1" si="238"/>
        <v>0.1</v>
      </c>
      <c r="B560" s="304">
        <f t="shared" ca="1" si="239"/>
        <v>23.599999999999994</v>
      </c>
      <c r="D560" s="306">
        <f t="shared" ca="1" si="240"/>
        <v>-0.31274216821916978</v>
      </c>
      <c r="E560" s="307">
        <f t="shared" ca="1" si="241"/>
        <v>-10.299417306228982</v>
      </c>
      <c r="F560" s="304">
        <f t="shared" ca="1" si="242"/>
        <v>10.304164425688842</v>
      </c>
      <c r="G560" s="306">
        <f t="shared" ca="1" si="243"/>
        <v>26.145724713489482</v>
      </c>
      <c r="H560" s="307">
        <f t="shared" ca="1" si="244"/>
        <v>39.935037103487048</v>
      </c>
      <c r="I560" s="304">
        <f t="shared" ca="1" si="245"/>
        <v>47.732652443065234</v>
      </c>
      <c r="J560" s="306">
        <f t="shared" ca="1" si="246"/>
        <v>729.26250934477753</v>
      </c>
      <c r="K560" s="307">
        <f t="shared" ca="1" si="247"/>
        <v>3743.7476138207703</v>
      </c>
      <c r="L560" s="304">
        <f t="shared" ca="1" si="232"/>
        <v>3814.1145766120549</v>
      </c>
      <c r="M560" s="306">
        <f t="shared" ca="1" si="248"/>
        <v>0.99111967090135411</v>
      </c>
      <c r="N560" s="304">
        <f t="shared" ca="1" si="249"/>
        <v>56.786974135042698</v>
      </c>
      <c r="P560" s="310">
        <f t="shared" ca="1" si="250"/>
        <v>23</v>
      </c>
      <c r="Q560" s="304">
        <f t="shared" ca="1" si="251"/>
        <v>0</v>
      </c>
      <c r="R560" s="306">
        <f t="shared" ca="1" si="252"/>
        <v>0</v>
      </c>
      <c r="S560" s="307">
        <f t="shared" ca="1" si="253"/>
        <v>5.6519999999999806</v>
      </c>
      <c r="T560" s="304">
        <f t="shared" ca="1" si="233"/>
        <v>55.446119999999816</v>
      </c>
      <c r="U560" s="311">
        <f t="shared" ca="1" si="234"/>
        <v>0</v>
      </c>
      <c r="V560" s="306">
        <f t="shared" ca="1" si="235"/>
        <v>0.83870118133659999</v>
      </c>
      <c r="W560" s="304">
        <f t="shared" ca="1" si="236"/>
        <v>3.1633879438831056</v>
      </c>
      <c r="Y560" s="314" t="str">
        <f t="shared" ca="1" si="254"/>
        <v/>
      </c>
      <c r="Z560" s="315" t="str">
        <f t="shared" ca="1" si="255"/>
        <v/>
      </c>
      <c r="AA560" s="316" t="str">
        <f t="shared" ca="1" si="256"/>
        <v/>
      </c>
      <c r="AC560" s="310" t="e">
        <f t="shared" ca="1" si="257"/>
        <v>#N/A</v>
      </c>
      <c r="AD560" s="323" t="e">
        <f t="shared" ca="1" si="258"/>
        <v>#N/A</v>
      </c>
      <c r="AE560" s="324">
        <f t="shared" ca="1" si="237"/>
        <v>3743.7476138207703</v>
      </c>
      <c r="AG560" s="306">
        <f t="shared" ca="1" si="259"/>
        <v>-8.8472061698656681</v>
      </c>
      <c r="AH560" s="304">
        <f t="shared" ca="1" si="260"/>
        <v>-0.58080716543346844</v>
      </c>
    </row>
    <row r="561" spans="1:34" x14ac:dyDescent="0.2">
      <c r="A561" s="347">
        <f t="shared" ca="1" si="238"/>
        <v>0.1</v>
      </c>
      <c r="B561" s="304">
        <f t="shared" ca="1" si="239"/>
        <v>23.699999999999996</v>
      </c>
      <c r="D561" s="306">
        <f t="shared" ca="1" si="240"/>
        <v>-0.30657406890082495</v>
      </c>
      <c r="E561" s="307">
        <f t="shared" ca="1" si="241"/>
        <v>-10.27826190326271</v>
      </c>
      <c r="F561" s="304">
        <f t="shared" ca="1" si="242"/>
        <v>10.282833044048902</v>
      </c>
      <c r="G561" s="306">
        <f t="shared" ca="1" si="243"/>
        <v>26.1150673065994</v>
      </c>
      <c r="H561" s="307">
        <f t="shared" ca="1" si="244"/>
        <v>38.907210913160775</v>
      </c>
      <c r="I561" s="304">
        <f t="shared" ca="1" si="245"/>
        <v>46.859020491996986</v>
      </c>
      <c r="J561" s="306">
        <f t="shared" ca="1" si="246"/>
        <v>731.87554894578193</v>
      </c>
      <c r="K561" s="307">
        <f t="shared" ca="1" si="247"/>
        <v>3747.6897262216025</v>
      </c>
      <c r="L561" s="304">
        <f t="shared" ca="1" si="232"/>
        <v>3818.4840058813447</v>
      </c>
      <c r="M561" s="306">
        <f t="shared" ca="1" si="248"/>
        <v>0.9796521263549669</v>
      </c>
      <c r="N561" s="304">
        <f t="shared" ca="1" si="249"/>
        <v>56.129932231156445</v>
      </c>
      <c r="P561" s="310">
        <f t="shared" ca="1" si="250"/>
        <v>23</v>
      </c>
      <c r="Q561" s="304">
        <f t="shared" ca="1" si="251"/>
        <v>0</v>
      </c>
      <c r="R561" s="306">
        <f t="shared" ca="1" si="252"/>
        <v>0</v>
      </c>
      <c r="S561" s="307">
        <f t="shared" ca="1" si="253"/>
        <v>5.6519999999999806</v>
      </c>
      <c r="T561" s="304">
        <f t="shared" ca="1" si="233"/>
        <v>55.446119999999816</v>
      </c>
      <c r="U561" s="311">
        <f t="shared" ca="1" si="234"/>
        <v>0</v>
      </c>
      <c r="V561" s="306">
        <f t="shared" ca="1" si="235"/>
        <v>0.83835860729624712</v>
      </c>
      <c r="W561" s="304">
        <f t="shared" ca="1" si="236"/>
        <v>3.0474058983378414</v>
      </c>
      <c r="Y561" s="314" t="str">
        <f t="shared" ca="1" si="254"/>
        <v/>
      </c>
      <c r="Z561" s="315" t="str">
        <f t="shared" ca="1" si="255"/>
        <v/>
      </c>
      <c r="AA561" s="316" t="str">
        <f t="shared" ca="1" si="256"/>
        <v/>
      </c>
      <c r="AC561" s="310" t="e">
        <f t="shared" ca="1" si="257"/>
        <v>#N/A</v>
      </c>
      <c r="AD561" s="323" t="e">
        <f t="shared" ca="1" si="258"/>
        <v>#N/A</v>
      </c>
      <c r="AE561" s="324">
        <f t="shared" ca="1" si="237"/>
        <v>3747.6897262216025</v>
      </c>
      <c r="AG561" s="306">
        <f t="shared" ca="1" si="259"/>
        <v>-8.7671300515948403</v>
      </c>
      <c r="AH561" s="304">
        <f t="shared" ca="1" si="260"/>
        <v>-0.55969354987316289</v>
      </c>
    </row>
    <row r="562" spans="1:34" x14ac:dyDescent="0.2">
      <c r="A562" s="347">
        <f t="shared" ca="1" si="238"/>
        <v>0.1</v>
      </c>
      <c r="B562" s="304">
        <f t="shared" ca="1" si="239"/>
        <v>23.799999999999997</v>
      </c>
      <c r="D562" s="306">
        <f t="shared" ca="1" si="240"/>
        <v>-0.3004872809955127</v>
      </c>
      <c r="E562" s="307">
        <f t="shared" ca="1" si="241"/>
        <v>-10.257677269262111</v>
      </c>
      <c r="F562" s="304">
        <f t="shared" ca="1" si="242"/>
        <v>10.262077546304972</v>
      </c>
      <c r="G562" s="306">
        <f t="shared" ca="1" si="243"/>
        <v>26.085018578499849</v>
      </c>
      <c r="H562" s="307">
        <f t="shared" ca="1" si="244"/>
        <v>37.881443186234563</v>
      </c>
      <c r="I562" s="304">
        <f t="shared" ca="1" si="245"/>
        <v>45.993824934577894</v>
      </c>
      <c r="J562" s="306">
        <f t="shared" ca="1" si="246"/>
        <v>734.48555324003689</v>
      </c>
      <c r="K562" s="307">
        <f t="shared" ca="1" si="247"/>
        <v>3751.5291589265721</v>
      </c>
      <c r="L562" s="304">
        <f t="shared" ca="1" si="232"/>
        <v>3822.7529423433366</v>
      </c>
      <c r="M562" s="306">
        <f t="shared" ca="1" si="248"/>
        <v>0.9677649788760363</v>
      </c>
      <c r="N562" s="304">
        <f t="shared" ca="1" si="249"/>
        <v>55.448848850164147</v>
      </c>
      <c r="P562" s="310">
        <f t="shared" ca="1" si="250"/>
        <v>23</v>
      </c>
      <c r="Q562" s="304">
        <f t="shared" ca="1" si="251"/>
        <v>0</v>
      </c>
      <c r="R562" s="306">
        <f t="shared" ca="1" si="252"/>
        <v>0</v>
      </c>
      <c r="S562" s="307">
        <f t="shared" ca="1" si="253"/>
        <v>5.6519999999999806</v>
      </c>
      <c r="T562" s="304">
        <f t="shared" ca="1" si="233"/>
        <v>55.446119999999816</v>
      </c>
      <c r="U562" s="311">
        <f t="shared" ca="1" si="234"/>
        <v>0</v>
      </c>
      <c r="V562" s="306">
        <f t="shared" ca="1" si="235"/>
        <v>0.83802506554969569</v>
      </c>
      <c r="W562" s="304">
        <f t="shared" ca="1" si="236"/>
        <v>2.9347433573944985</v>
      </c>
      <c r="Y562" s="314" t="str">
        <f t="shared" ca="1" si="254"/>
        <v/>
      </c>
      <c r="Z562" s="315" t="str">
        <f t="shared" ca="1" si="255"/>
        <v/>
      </c>
      <c r="AA562" s="316" t="str">
        <f t="shared" ca="1" si="256"/>
        <v/>
      </c>
      <c r="AC562" s="310" t="e">
        <f t="shared" ca="1" si="257"/>
        <v>#N/A</v>
      </c>
      <c r="AD562" s="323" t="e">
        <f t="shared" ca="1" si="258"/>
        <v>#N/A</v>
      </c>
      <c r="AE562" s="324">
        <f t="shared" ca="1" si="237"/>
        <v>3751.5291589265721</v>
      </c>
      <c r="AG562" s="306">
        <f t="shared" ca="1" si="259"/>
        <v>-8.6844508120222574</v>
      </c>
      <c r="AH562" s="304">
        <f t="shared" ca="1" si="260"/>
        <v>-0.53917301810648477</v>
      </c>
    </row>
    <row r="563" spans="1:34" x14ac:dyDescent="0.2">
      <c r="A563" s="347">
        <f t="shared" ca="1" si="238"/>
        <v>0.1</v>
      </c>
      <c r="B563" s="304">
        <f t="shared" ca="1" si="239"/>
        <v>23.9</v>
      </c>
      <c r="D563" s="306">
        <f t="shared" ca="1" si="240"/>
        <v>-0.29448257206125622</v>
      </c>
      <c r="E563" s="307">
        <f t="shared" ca="1" si="241"/>
        <v>-10.237656387872747</v>
      </c>
      <c r="F563" s="304">
        <f t="shared" ca="1" si="242"/>
        <v>10.24189085576484</v>
      </c>
      <c r="G563" s="306">
        <f t="shared" ca="1" si="243"/>
        <v>26.055570321293722</v>
      </c>
      <c r="H563" s="307">
        <f t="shared" ca="1" si="244"/>
        <v>36.857677547447288</v>
      </c>
      <c r="I563" s="304">
        <f t="shared" ca="1" si="245"/>
        <v>45.137358573131884</v>
      </c>
      <c r="J563" s="306">
        <f t="shared" ca="1" si="246"/>
        <v>737.09258268502663</v>
      </c>
      <c r="K563" s="307">
        <f t="shared" ca="1" si="247"/>
        <v>3755.2661149632563</v>
      </c>
      <c r="L563" s="304">
        <f t="shared" ca="1" si="232"/>
        <v>3826.9216179117793</v>
      </c>
      <c r="M563" s="306">
        <f t="shared" ca="1" si="248"/>
        <v>0.95543860072279518</v>
      </c>
      <c r="N563" s="304">
        <f t="shared" ca="1" si="249"/>
        <v>54.742599405301171</v>
      </c>
      <c r="P563" s="310">
        <f t="shared" ca="1" si="250"/>
        <v>23</v>
      </c>
      <c r="Q563" s="304">
        <f t="shared" ca="1" si="251"/>
        <v>0</v>
      </c>
      <c r="R563" s="306">
        <f t="shared" ca="1" si="252"/>
        <v>0</v>
      </c>
      <c r="S563" s="307">
        <f t="shared" ca="1" si="253"/>
        <v>5.6519999999999806</v>
      </c>
      <c r="T563" s="304">
        <f t="shared" ca="1" si="233"/>
        <v>55.446119999999816</v>
      </c>
      <c r="U563" s="311">
        <f t="shared" ca="1" si="234"/>
        <v>0</v>
      </c>
      <c r="V563" s="306">
        <f t="shared" ca="1" si="235"/>
        <v>0.83770052976317888</v>
      </c>
      <c r="W563" s="304">
        <f t="shared" ca="1" si="236"/>
        <v>2.8253687373263574</v>
      </c>
      <c r="Y563" s="314" t="str">
        <f t="shared" ca="1" si="254"/>
        <v/>
      </c>
      <c r="Z563" s="315" t="str">
        <f t="shared" ca="1" si="255"/>
        <v/>
      </c>
      <c r="AA563" s="316" t="str">
        <f t="shared" ca="1" si="256"/>
        <v/>
      </c>
      <c r="AC563" s="310" t="e">
        <f t="shared" ca="1" si="257"/>
        <v>#N/A</v>
      </c>
      <c r="AD563" s="323" t="e">
        <f t="shared" ca="1" si="258"/>
        <v>#N/A</v>
      </c>
      <c r="AE563" s="324">
        <f t="shared" ca="1" si="237"/>
        <v>3755.2661149632563</v>
      </c>
      <c r="AG563" s="306">
        <f t="shared" ca="1" si="259"/>
        <v>-8.5989539409522191</v>
      </c>
      <c r="AH563" s="304">
        <f t="shared" ca="1" si="260"/>
        <v>-0.51923980137907089</v>
      </c>
    </row>
    <row r="564" spans="1:34" x14ac:dyDescent="0.2">
      <c r="A564" s="347">
        <f t="shared" ca="1" si="238"/>
        <v>0.1</v>
      </c>
      <c r="B564" s="304">
        <f t="shared" ca="1" si="239"/>
        <v>24</v>
      </c>
      <c r="D564" s="306">
        <f t="shared" ca="1" si="240"/>
        <v>-0.28856086107333434</v>
      </c>
      <c r="E564" s="307">
        <f t="shared" ca="1" si="241"/>
        <v>-10.218192299731117</v>
      </c>
      <c r="F564" s="304">
        <f t="shared" ca="1" si="242"/>
        <v>10.222265954514571</v>
      </c>
      <c r="G564" s="306">
        <f t="shared" ca="1" si="243"/>
        <v>26.02671423518639</v>
      </c>
      <c r="H564" s="307">
        <f t="shared" ca="1" si="244"/>
        <v>35.835858317474177</v>
      </c>
      <c r="I564" s="304">
        <f t="shared" ca="1" si="245"/>
        <v>44.289937855342906</v>
      </c>
      <c r="J564" s="306">
        <f t="shared" ca="1" si="246"/>
        <v>739.6966969128506</v>
      </c>
      <c r="K564" s="307">
        <f t="shared" ca="1" si="247"/>
        <v>3758.9007917565023</v>
      </c>
      <c r="L564" s="304">
        <f t="shared" ca="1" si="232"/>
        <v>3830.9902591485979</v>
      </c>
      <c r="M564" s="306">
        <f t="shared" ca="1" si="248"/>
        <v>0.9426524384147148</v>
      </c>
      <c r="N564" s="304">
        <f t="shared" ca="1" si="249"/>
        <v>54.010006268878911</v>
      </c>
      <c r="P564" s="310">
        <f t="shared" ca="1" si="250"/>
        <v>23</v>
      </c>
      <c r="Q564" s="304">
        <f t="shared" ca="1" si="251"/>
        <v>0</v>
      </c>
      <c r="R564" s="306">
        <f t="shared" ca="1" si="252"/>
        <v>0</v>
      </c>
      <c r="S564" s="307">
        <f t="shared" ca="1" si="253"/>
        <v>5.6519999999999806</v>
      </c>
      <c r="T564" s="304">
        <f t="shared" ca="1" si="233"/>
        <v>55.446119999999816</v>
      </c>
      <c r="U564" s="311">
        <f t="shared" ca="1" si="234"/>
        <v>0</v>
      </c>
      <c r="V564" s="306">
        <f t="shared" ca="1" si="235"/>
        <v>0.83738497435038184</v>
      </c>
      <c r="W564" s="304">
        <f t="shared" ca="1" si="236"/>
        <v>2.7192514551317752</v>
      </c>
      <c r="Y564" s="314" t="str">
        <f t="shared" ca="1" si="254"/>
        <v/>
      </c>
      <c r="Z564" s="315" t="str">
        <f t="shared" ca="1" si="255"/>
        <v/>
      </c>
      <c r="AA564" s="316" t="str">
        <f t="shared" ca="1" si="256"/>
        <v/>
      </c>
      <c r="AC564" s="310">
        <f t="shared" ca="1" si="257"/>
        <v>24</v>
      </c>
      <c r="AD564" s="323">
        <f t="shared" ca="1" si="258"/>
        <v>739.6966969128506</v>
      </c>
      <c r="AE564" s="324">
        <f t="shared" ca="1" si="237"/>
        <v>3758.9007917565023</v>
      </c>
      <c r="AG564" s="306">
        <f t="shared" ca="1" si="259"/>
        <v>-8.5104105967252224</v>
      </c>
      <c r="AH564" s="304">
        <f t="shared" ca="1" si="260"/>
        <v>-0.49988831162886893</v>
      </c>
    </row>
    <row r="565" spans="1:34" x14ac:dyDescent="0.2">
      <c r="A565" s="347">
        <f t="shared" ca="1" si="238"/>
        <v>0.1</v>
      </c>
      <c r="B565" s="304">
        <f t="shared" ca="1" si="239"/>
        <v>24.1</v>
      </c>
      <c r="D565" s="306">
        <f t="shared" ca="1" si="240"/>
        <v>-0.28272322698962038</v>
      </c>
      <c r="E565" s="307">
        <f t="shared" ca="1" si="241"/>
        <v>-10.199278086119755</v>
      </c>
      <c r="F565" s="304">
        <f t="shared" ca="1" si="242"/>
        <v>10.203195867035097</v>
      </c>
      <c r="G565" s="306">
        <f t="shared" ca="1" si="243"/>
        <v>25.998441912487429</v>
      </c>
      <c r="H565" s="307">
        <f t="shared" ca="1" si="244"/>
        <v>34.815930508862202</v>
      </c>
      <c r="I565" s="304">
        <f t="shared" ca="1" si="245"/>
        <v>43.451904435535447</v>
      </c>
      <c r="J565" s="306">
        <f t="shared" ca="1" si="246"/>
        <v>742.29795472023432</v>
      </c>
      <c r="K565" s="307">
        <f t="shared" ca="1" si="247"/>
        <v>3762.433381197819</v>
      </c>
      <c r="L565" s="304">
        <f t="shared" ca="1" si="232"/>
        <v>3834.9590873350257</v>
      </c>
      <c r="M565" s="306">
        <f t="shared" ca="1" si="248"/>
        <v>0.92938499617360204</v>
      </c>
      <c r="N565" s="304">
        <f t="shared" ca="1" si="249"/>
        <v>53.24983782352956</v>
      </c>
      <c r="P565" s="310">
        <f t="shared" ca="1" si="250"/>
        <v>23</v>
      </c>
      <c r="Q565" s="304">
        <f t="shared" ca="1" si="251"/>
        <v>0</v>
      </c>
      <c r="R565" s="306">
        <f t="shared" ca="1" si="252"/>
        <v>0</v>
      </c>
      <c r="S565" s="307">
        <f t="shared" ca="1" si="253"/>
        <v>5.6519999999999806</v>
      </c>
      <c r="T565" s="304">
        <f t="shared" ca="1" si="233"/>
        <v>55.446119999999816</v>
      </c>
      <c r="U565" s="311">
        <f t="shared" ca="1" si="234"/>
        <v>0</v>
      </c>
      <c r="V565" s="306">
        <f t="shared" ca="1" si="235"/>
        <v>0.83707837446360078</v>
      </c>
      <c r="W565" s="304">
        <f t="shared" ca="1" si="236"/>
        <v>2.6163619085509997</v>
      </c>
      <c r="Y565" s="314" t="str">
        <f t="shared" ca="1" si="254"/>
        <v/>
      </c>
      <c r="Z565" s="315" t="str">
        <f t="shared" ca="1" si="255"/>
        <v/>
      </c>
      <c r="AA565" s="316" t="str">
        <f t="shared" ca="1" si="256"/>
        <v/>
      </c>
      <c r="AC565" s="310" t="e">
        <f t="shared" ca="1" si="257"/>
        <v>#N/A</v>
      </c>
      <c r="AD565" s="323" t="e">
        <f t="shared" ca="1" si="258"/>
        <v>#N/A</v>
      </c>
      <c r="AE565" s="324">
        <f t="shared" ca="1" si="237"/>
        <v>3762.433381197819</v>
      </c>
      <c r="AG565" s="306">
        <f t="shared" ca="1" si="259"/>
        <v>-8.4185767496225008</v>
      </c>
      <c r="AH565" s="304">
        <f t="shared" ca="1" si="260"/>
        <v>-0.4811131378506342</v>
      </c>
    </row>
    <row r="566" spans="1:34" x14ac:dyDescent="0.2">
      <c r="A566" s="347">
        <f t="shared" ca="1" si="238"/>
        <v>0.1</v>
      </c>
      <c r="B566" s="304">
        <f t="shared" ca="1" si="239"/>
        <v>24.200000000000003</v>
      </c>
      <c r="D566" s="306">
        <f t="shared" ca="1" si="240"/>
        <v>-0.27697091784837247</v>
      </c>
      <c r="E566" s="307">
        <f t="shared" ca="1" si="241"/>
        <v>-10.180906851312233</v>
      </c>
      <c r="F566" s="304">
        <f t="shared" ca="1" si="242"/>
        <v>10.184673642509619</v>
      </c>
      <c r="G566" s="306">
        <f t="shared" ca="1" si="243"/>
        <v>25.970744820702592</v>
      </c>
      <c r="H566" s="307">
        <f t="shared" ca="1" si="244"/>
        <v>33.797839823730982</v>
      </c>
      <c r="I566" s="304">
        <f t="shared" ca="1" si="245"/>
        <v>42.623626820023496</v>
      </c>
      <c r="J566" s="306">
        <f t="shared" ca="1" si="246"/>
        <v>744.89641405689383</v>
      </c>
      <c r="K566" s="307">
        <f t="shared" ca="1" si="247"/>
        <v>3765.8640697144488</v>
      </c>
      <c r="L566" s="304">
        <f t="shared" ca="1" si="232"/>
        <v>3838.8283185421419</v>
      </c>
      <c r="M566" s="306">
        <f t="shared" ca="1" si="248"/>
        <v>0.9156138261785508</v>
      </c>
      <c r="N566" s="304">
        <f t="shared" ca="1" si="249"/>
        <v>52.46080790385593</v>
      </c>
      <c r="P566" s="310">
        <f t="shared" ca="1" si="250"/>
        <v>23</v>
      </c>
      <c r="Q566" s="304">
        <f t="shared" ca="1" si="251"/>
        <v>0</v>
      </c>
      <c r="R566" s="306">
        <f t="shared" ca="1" si="252"/>
        <v>0</v>
      </c>
      <c r="S566" s="307">
        <f t="shared" ca="1" si="253"/>
        <v>5.6519999999999806</v>
      </c>
      <c r="T566" s="304">
        <f t="shared" ca="1" si="233"/>
        <v>55.446119999999816</v>
      </c>
      <c r="U566" s="311">
        <f t="shared" ca="1" si="234"/>
        <v>0</v>
      </c>
      <c r="V566" s="306">
        <f t="shared" ca="1" si="235"/>
        <v>0.8367807059850253</v>
      </c>
      <c r="W566" s="304">
        <f t="shared" ca="1" si="236"/>
        <v>2.5166714566128143</v>
      </c>
      <c r="Y566" s="314" t="str">
        <f t="shared" ca="1" si="254"/>
        <v/>
      </c>
      <c r="Z566" s="315" t="str">
        <f t="shared" ca="1" si="255"/>
        <v/>
      </c>
      <c r="AA566" s="316" t="str">
        <f t="shared" ca="1" si="256"/>
        <v/>
      </c>
      <c r="AC566" s="310" t="e">
        <f t="shared" ca="1" si="257"/>
        <v>#N/A</v>
      </c>
      <c r="AD566" s="323" t="e">
        <f t="shared" ca="1" si="258"/>
        <v>#N/A</v>
      </c>
      <c r="AE566" s="324">
        <f t="shared" ca="1" si="237"/>
        <v>3765.8640697144488</v>
      </c>
      <c r="AG566" s="306">
        <f t="shared" ca="1" si="259"/>
        <v>-8.3231923311477853</v>
      </c>
      <c r="AH566" s="304">
        <f t="shared" ca="1" si="260"/>
        <v>-0.46290904256033416</v>
      </c>
    </row>
    <row r="567" spans="1:34" x14ac:dyDescent="0.2">
      <c r="A567" s="347">
        <f t="shared" ca="1" si="238"/>
        <v>0.1</v>
      </c>
      <c r="B567" s="304">
        <f t="shared" ca="1" si="239"/>
        <v>24.300000000000004</v>
      </c>
      <c r="D567" s="306">
        <f t="shared" ca="1" si="240"/>
        <v>-0.27130536038830538</v>
      </c>
      <c r="E567" s="307">
        <f t="shared" ca="1" si="241"/>
        <v>-10.163071703450495</v>
      </c>
      <c r="F567" s="304">
        <f t="shared" ca="1" si="242"/>
        <v>10.16669233566412</v>
      </c>
      <c r="G567" s="306">
        <f t="shared" ca="1" si="243"/>
        <v>25.943614284663763</v>
      </c>
      <c r="H567" s="307">
        <f t="shared" ca="1" si="244"/>
        <v>32.781532653385931</v>
      </c>
      <c r="I567" s="304">
        <f t="shared" ca="1" si="245"/>
        <v>41.805502093102739</v>
      </c>
      <c r="J567" s="306">
        <f t="shared" ca="1" si="246"/>
        <v>747.49213201216219</v>
      </c>
      <c r="K567" s="307">
        <f t="shared" ca="1" si="247"/>
        <v>3769.1930383383046</v>
      </c>
      <c r="L567" s="304">
        <f t="shared" ca="1" si="232"/>
        <v>3842.598163700965</v>
      </c>
      <c r="M567" s="306">
        <f t="shared" ca="1" si="248"/>
        <v>0.90131552746579324</v>
      </c>
      <c r="N567" s="304">
        <f t="shared" ca="1" si="249"/>
        <v>51.641575733397588</v>
      </c>
      <c r="P567" s="310">
        <f t="shared" ca="1" si="250"/>
        <v>23</v>
      </c>
      <c r="Q567" s="304">
        <f t="shared" ca="1" si="251"/>
        <v>0</v>
      </c>
      <c r="R567" s="306">
        <f t="shared" ca="1" si="252"/>
        <v>0</v>
      </c>
      <c r="S567" s="307">
        <f t="shared" ca="1" si="253"/>
        <v>5.6519999999999806</v>
      </c>
      <c r="T567" s="304">
        <f t="shared" ca="1" si="233"/>
        <v>55.446119999999816</v>
      </c>
      <c r="U567" s="311">
        <f t="shared" ca="1" si="234"/>
        <v>0</v>
      </c>
      <c r="V567" s="306">
        <f t="shared" ca="1" si="235"/>
        <v>0.83649194551812911</v>
      </c>
      <c r="W567" s="304">
        <f t="shared" ca="1" si="236"/>
        <v>2.4201524006753981</v>
      </c>
      <c r="Y567" s="314" t="str">
        <f t="shared" ca="1" si="254"/>
        <v/>
      </c>
      <c r="Z567" s="315" t="str">
        <f t="shared" ca="1" si="255"/>
        <v/>
      </c>
      <c r="AA567" s="316" t="str">
        <f t="shared" ca="1" si="256"/>
        <v/>
      </c>
      <c r="AC567" s="310" t="e">
        <f t="shared" ca="1" si="257"/>
        <v>#N/A</v>
      </c>
      <c r="AD567" s="323" t="e">
        <f t="shared" ca="1" si="258"/>
        <v>#N/A</v>
      </c>
      <c r="AE567" s="324">
        <f t="shared" ca="1" si="237"/>
        <v>3769.1930383383046</v>
      </c>
      <c r="AG567" s="306">
        <f t="shared" ca="1" si="259"/>
        <v>-8.2239804067722648</v>
      </c>
      <c r="AH567" s="304">
        <f t="shared" ca="1" si="260"/>
        <v>-0.44527095835329494</v>
      </c>
    </row>
    <row r="568" spans="1:34" x14ac:dyDescent="0.2">
      <c r="A568" s="347">
        <f t="shared" ca="1" si="238"/>
        <v>0.1</v>
      </c>
      <c r="B568" s="304">
        <f t="shared" ca="1" si="239"/>
        <v>24.400000000000006</v>
      </c>
      <c r="D568" s="306">
        <f t="shared" ca="1" si="240"/>
        <v>-0.26572817016843797</v>
      </c>
      <c r="E568" s="307">
        <f t="shared" ca="1" si="241"/>
        <v>-10.145765733784076</v>
      </c>
      <c r="F568" s="304">
        <f t="shared" ca="1" si="242"/>
        <v>10.149244985970542</v>
      </c>
      <c r="G568" s="306">
        <f t="shared" ca="1" si="243"/>
        <v>25.917041467646918</v>
      </c>
      <c r="H568" s="307">
        <f t="shared" ca="1" si="244"/>
        <v>31.766956080007525</v>
      </c>
      <c r="I568" s="304">
        <f t="shared" ca="1" si="245"/>
        <v>40.997957717730976</v>
      </c>
      <c r="J568" s="306">
        <f t="shared" ca="1" si="246"/>
        <v>750.08516479977777</v>
      </c>
      <c r="K568" s="307">
        <f t="shared" ca="1" si="247"/>
        <v>3772.4204627749741</v>
      </c>
      <c r="L568" s="304">
        <f t="shared" ca="1" si="232"/>
        <v>3846.2688286722837</v>
      </c>
      <c r="M568" s="306">
        <f t="shared" ca="1" si="248"/>
        <v>0.88646575563007346</v>
      </c>
      <c r="N568" s="304">
        <f t="shared" ca="1" si="249"/>
        <v>50.790746480478603</v>
      </c>
      <c r="P568" s="310">
        <f t="shared" ca="1" si="250"/>
        <v>23</v>
      </c>
      <c r="Q568" s="304">
        <f t="shared" ca="1" si="251"/>
        <v>0</v>
      </c>
      <c r="R568" s="306">
        <f t="shared" ca="1" si="252"/>
        <v>0</v>
      </c>
      <c r="S568" s="307">
        <f t="shared" ca="1" si="253"/>
        <v>5.6519999999999806</v>
      </c>
      <c r="T568" s="304">
        <f t="shared" ca="1" si="233"/>
        <v>55.446119999999816</v>
      </c>
      <c r="U568" s="311">
        <f t="shared" ca="1" si="234"/>
        <v>0</v>
      </c>
      <c r="V568" s="306">
        <f t="shared" ca="1" si="235"/>
        <v>0.8362120703791468</v>
      </c>
      <c r="W568" s="304">
        <f t="shared" ca="1" si="236"/>
        <v>2.3267779659246952</v>
      </c>
      <c r="Y568" s="314" t="str">
        <f t="shared" ca="1" si="254"/>
        <v/>
      </c>
      <c r="Z568" s="315" t="str">
        <f t="shared" ca="1" si="255"/>
        <v/>
      </c>
      <c r="AA568" s="316" t="str">
        <f t="shared" ca="1" si="256"/>
        <v/>
      </c>
      <c r="AC568" s="310" t="e">
        <f t="shared" ca="1" si="257"/>
        <v>#N/A</v>
      </c>
      <c r="AD568" s="323" t="e">
        <f t="shared" ca="1" si="258"/>
        <v>#N/A</v>
      </c>
      <c r="AE568" s="324">
        <f t="shared" ca="1" si="237"/>
        <v>3772.4204627749741</v>
      </c>
      <c r="AG568" s="306">
        <f t="shared" ca="1" si="259"/>
        <v>-8.1206463946064265</v>
      </c>
      <c r="AH568" s="304">
        <f t="shared" ca="1" si="260"/>
        <v>-0.4281939845497888</v>
      </c>
    </row>
    <row r="569" spans="1:34" x14ac:dyDescent="0.2">
      <c r="A569" s="347">
        <f t="shared" ca="1" si="238"/>
        <v>0.1</v>
      </c>
      <c r="B569" s="304">
        <f t="shared" ca="1" si="239"/>
        <v>24.500000000000007</v>
      </c>
      <c r="D569" s="306">
        <f t="shared" ca="1" si="240"/>
        <v>-0.26024116214958393</v>
      </c>
      <c r="E569" s="307">
        <f t="shared" ca="1" si="241"/>
        <v>-10.128981994088177</v>
      </c>
      <c r="F569" s="304">
        <f t="shared" ca="1" si="242"/>
        <v>10.132324595029488</v>
      </c>
      <c r="G569" s="306">
        <f t="shared" ca="1" si="243"/>
        <v>25.891017351431959</v>
      </c>
      <c r="H569" s="307">
        <f t="shared" ca="1" si="244"/>
        <v>30.754057880598708</v>
      </c>
      <c r="I569" s="304">
        <f t="shared" ca="1" si="245"/>
        <v>40.20145340177848</v>
      </c>
      <c r="J569" s="306">
        <f t="shared" ca="1" si="246"/>
        <v>752.67556774073171</v>
      </c>
      <c r="K569" s="307">
        <f t="shared" ca="1" si="247"/>
        <v>3775.5465134730043</v>
      </c>
      <c r="L569" s="304">
        <f t="shared" ca="1" si="232"/>
        <v>3849.8405143164036</v>
      </c>
      <c r="M569" s="306">
        <f t="shared" ca="1" si="248"/>
        <v>0.87103924584864256</v>
      </c>
      <c r="N569" s="304">
        <f t="shared" ca="1" si="249"/>
        <v>49.906872577385329</v>
      </c>
      <c r="P569" s="310">
        <f t="shared" ca="1" si="250"/>
        <v>23</v>
      </c>
      <c r="Q569" s="304">
        <f t="shared" ca="1" si="251"/>
        <v>0</v>
      </c>
      <c r="R569" s="306">
        <f t="shared" ca="1" si="252"/>
        <v>0</v>
      </c>
      <c r="S569" s="307">
        <f t="shared" ca="1" si="253"/>
        <v>5.6519999999999806</v>
      </c>
      <c r="T569" s="304">
        <f t="shared" ca="1" si="233"/>
        <v>55.446119999999816</v>
      </c>
      <c r="U569" s="311">
        <f t="shared" ca="1" si="234"/>
        <v>0</v>
      </c>
      <c r="V569" s="306">
        <f t="shared" ca="1" si="235"/>
        <v>0.835941058588619</v>
      </c>
      <c r="W569" s="304">
        <f t="shared" ca="1" si="236"/>
        <v>2.2365222832923806</v>
      </c>
      <c r="Y569" s="314" t="str">
        <f t="shared" ca="1" si="254"/>
        <v/>
      </c>
      <c r="Z569" s="315" t="str">
        <f t="shared" ca="1" si="255"/>
        <v/>
      </c>
      <c r="AA569" s="316" t="str">
        <f t="shared" ca="1" si="256"/>
        <v/>
      </c>
      <c r="AC569" s="310" t="e">
        <f t="shared" ca="1" si="257"/>
        <v>#N/A</v>
      </c>
      <c r="AD569" s="323" t="e">
        <f t="shared" ca="1" si="258"/>
        <v>#N/A</v>
      </c>
      <c r="AE569" s="324">
        <f t="shared" ca="1" si="237"/>
        <v>3775.5465134730043</v>
      </c>
      <c r="AG569" s="306">
        <f t="shared" ca="1" si="259"/>
        <v>-8.0128773582867865</v>
      </c>
      <c r="AH569" s="304">
        <f t="shared" ca="1" si="260"/>
        <v>-0.41167338392156816</v>
      </c>
    </row>
    <row r="570" spans="1:34" x14ac:dyDescent="0.2">
      <c r="A570" s="347">
        <f t="shared" ca="1" si="238"/>
        <v>0.1</v>
      </c>
      <c r="B570" s="304">
        <f t="shared" ca="1" si="239"/>
        <v>24.600000000000009</v>
      </c>
      <c r="D570" s="306">
        <f t="shared" ca="1" si="240"/>
        <v>-0.25484636167984243</v>
      </c>
      <c r="E570" s="307">
        <f t="shared" ca="1" si="241"/>
        <v>-10.11271347206557</v>
      </c>
      <c r="F570" s="304">
        <f t="shared" ca="1" si="242"/>
        <v>10.115924101937397</v>
      </c>
      <c r="G570" s="306">
        <f t="shared" ca="1" si="243"/>
        <v>25.865532715263974</v>
      </c>
      <c r="H570" s="307">
        <f t="shared" ca="1" si="244"/>
        <v>29.742786533392152</v>
      </c>
      <c r="I570" s="304">
        <f t="shared" ca="1" si="245"/>
        <v>39.416483016820827</v>
      </c>
      <c r="J570" s="306">
        <f t="shared" ca="1" si="246"/>
        <v>755.26339524406649</v>
      </c>
      <c r="K570" s="307">
        <f t="shared" ca="1" si="247"/>
        <v>3778.5713556937039</v>
      </c>
      <c r="L570" s="304">
        <f t="shared" ca="1" si="232"/>
        <v>3853.3134165630167</v>
      </c>
      <c r="M570" s="306">
        <f t="shared" ca="1" si="248"/>
        <v>0.85500985215134062</v>
      </c>
      <c r="N570" s="304">
        <f t="shared" ca="1" si="249"/>
        <v>48.988455970376329</v>
      </c>
      <c r="P570" s="310">
        <f t="shared" ca="1" si="250"/>
        <v>23</v>
      </c>
      <c r="Q570" s="304">
        <f t="shared" ca="1" si="251"/>
        <v>0</v>
      </c>
      <c r="R570" s="306">
        <f t="shared" ca="1" si="252"/>
        <v>0</v>
      </c>
      <c r="S570" s="307">
        <f t="shared" ca="1" si="253"/>
        <v>5.6519999999999806</v>
      </c>
      <c r="T570" s="304">
        <f t="shared" ca="1" si="233"/>
        <v>55.446119999999816</v>
      </c>
      <c r="U570" s="311">
        <f t="shared" ca="1" si="234"/>
        <v>0</v>
      </c>
      <c r="V570" s="306">
        <f t="shared" ca="1" si="235"/>
        <v>0.8356788888629807</v>
      </c>
      <c r="W570" s="304">
        <f t="shared" ca="1" si="236"/>
        <v>2.1493603717540002</v>
      </c>
      <c r="Y570" s="314" t="str">
        <f t="shared" ca="1" si="254"/>
        <v/>
      </c>
      <c r="Z570" s="315" t="str">
        <f t="shared" ca="1" si="255"/>
        <v/>
      </c>
      <c r="AA570" s="316" t="str">
        <f t="shared" ca="1" si="256"/>
        <v/>
      </c>
      <c r="AC570" s="310" t="e">
        <f t="shared" ca="1" si="257"/>
        <v>#N/A</v>
      </c>
      <c r="AD570" s="323" t="e">
        <f t="shared" ca="1" si="258"/>
        <v>#N/A</v>
      </c>
      <c r="AE570" s="324">
        <f t="shared" ca="1" si="237"/>
        <v>3778.5713556937039</v>
      </c>
      <c r="AG570" s="306">
        <f t="shared" ca="1" si="259"/>
        <v>-7.900341409247817</v>
      </c>
      <c r="AH570" s="304">
        <f t="shared" ca="1" si="260"/>
        <v>-0.39570457949263771</v>
      </c>
    </row>
    <row r="571" spans="1:34" x14ac:dyDescent="0.2">
      <c r="A571" s="347">
        <f t="shared" ca="1" si="238"/>
        <v>0.1</v>
      </c>
      <c r="B571" s="304">
        <f t="shared" ca="1" si="239"/>
        <v>24.70000000000001</v>
      </c>
      <c r="D571" s="306">
        <f t="shared" ca="1" si="240"/>
        <v>-0.24954601580235844</v>
      </c>
      <c r="E571" s="307">
        <f t="shared" ca="1" si="241"/>
        <v>-10.096953064526987</v>
      </c>
      <c r="F571" s="304">
        <f t="shared" ca="1" si="242"/>
        <v>10.100036356432771</v>
      </c>
      <c r="G571" s="306">
        <f t="shared" ca="1" si="243"/>
        <v>25.840578113683737</v>
      </c>
      <c r="H571" s="307">
        <f t="shared" ca="1" si="244"/>
        <v>28.733091226939454</v>
      </c>
      <c r="I571" s="304">
        <f t="shared" ca="1" si="245"/>
        <v>38.643576551673057</v>
      </c>
      <c r="J571" s="306">
        <f t="shared" ca="1" si="246"/>
        <v>757.84870078551387</v>
      </c>
      <c r="K571" s="307">
        <f t="shared" ca="1" si="247"/>
        <v>3781.4951495817204</v>
      </c>
      <c r="L571" s="304">
        <f t="shared" ca="1" si="232"/>
        <v>3856.6877264814129</v>
      </c>
      <c r="M571" s="306">
        <f t="shared" ca="1" si="248"/>
        <v>0.83835060629675662</v>
      </c>
      <c r="N571" s="304">
        <f t="shared" ca="1" si="249"/>
        <v>48.033951493037854</v>
      </c>
      <c r="P571" s="310">
        <f t="shared" ca="1" si="250"/>
        <v>23</v>
      </c>
      <c r="Q571" s="304">
        <f t="shared" ca="1" si="251"/>
        <v>0</v>
      </c>
      <c r="R571" s="306">
        <f t="shared" ca="1" si="252"/>
        <v>0</v>
      </c>
      <c r="S571" s="307">
        <f t="shared" ca="1" si="253"/>
        <v>5.6519999999999806</v>
      </c>
      <c r="T571" s="304">
        <f t="shared" ca="1" si="233"/>
        <v>55.446119999999816</v>
      </c>
      <c r="U571" s="311">
        <f t="shared" ca="1" si="234"/>
        <v>0</v>
      </c>
      <c r="V571" s="306">
        <f t="shared" ca="1" si="235"/>
        <v>0.83542554060617313</v>
      </c>
      <c r="W571" s="304">
        <f t="shared" ca="1" si="236"/>
        <v>2.065268120966159</v>
      </c>
      <c r="Y571" s="314" t="str">
        <f t="shared" ca="1" si="254"/>
        <v/>
      </c>
      <c r="Z571" s="315" t="str">
        <f t="shared" ca="1" si="255"/>
        <v/>
      </c>
      <c r="AA571" s="316" t="str">
        <f t="shared" ca="1" si="256"/>
        <v/>
      </c>
      <c r="AC571" s="310" t="e">
        <f t="shared" ca="1" si="257"/>
        <v>#N/A</v>
      </c>
      <c r="AD571" s="323" t="e">
        <f t="shared" ca="1" si="258"/>
        <v>#N/A</v>
      </c>
      <c r="AE571" s="324">
        <f t="shared" ca="1" si="237"/>
        <v>3781.4951495817204</v>
      </c>
      <c r="AG571" s="306">
        <f t="shared" ca="1" si="259"/>
        <v>-7.78268726158786</v>
      </c>
      <c r="AH571" s="304">
        <f t="shared" ca="1" si="260"/>
        <v>-0.3802831514072908</v>
      </c>
    </row>
    <row r="572" spans="1:34" x14ac:dyDescent="0.2">
      <c r="A572" s="347">
        <f t="shared" ca="1" si="238"/>
        <v>0.1</v>
      </c>
      <c r="B572" s="304">
        <f t="shared" ca="1" si="239"/>
        <v>24.800000000000011</v>
      </c>
      <c r="D572" s="306">
        <f t="shared" ca="1" si="240"/>
        <v>-0.24434260477424435</v>
      </c>
      <c r="E572" s="307">
        <f t="shared" ca="1" si="241"/>
        <v>-10.081693548136549</v>
      </c>
      <c r="F572" s="304">
        <f t="shared" ca="1" si="242"/>
        <v>10.084654089607932</v>
      </c>
      <c r="G572" s="306">
        <f t="shared" ca="1" si="243"/>
        <v>25.816143853206313</v>
      </c>
      <c r="H572" s="307">
        <f t="shared" ca="1" si="244"/>
        <v>27.724921872125798</v>
      </c>
      <c r="I572" s="304">
        <f t="shared" ca="1" si="245"/>
        <v>37.883302077101483</v>
      </c>
      <c r="J572" s="306">
        <f t="shared" ca="1" si="246"/>
        <v>760.43153688385837</v>
      </c>
      <c r="K572" s="307">
        <f t="shared" ca="1" si="247"/>
        <v>3784.3180502366736</v>
      </c>
      <c r="L572" s="304">
        <f t="shared" ca="1" si="232"/>
        <v>3859.9636303512816</v>
      </c>
      <c r="M572" s="306">
        <f t="shared" ca="1" si="248"/>
        <v>0.82103380007770388</v>
      </c>
      <c r="N572" s="304">
        <f t="shared" ca="1" si="249"/>
        <v>47.041771582040234</v>
      </c>
      <c r="P572" s="310">
        <f t="shared" ca="1" si="250"/>
        <v>23</v>
      </c>
      <c r="Q572" s="304">
        <f t="shared" ca="1" si="251"/>
        <v>0</v>
      </c>
      <c r="R572" s="306">
        <f t="shared" ca="1" si="252"/>
        <v>0</v>
      </c>
      <c r="S572" s="307">
        <f t="shared" ca="1" si="253"/>
        <v>5.6519999999999806</v>
      </c>
      <c r="T572" s="304">
        <f t="shared" ca="1" si="233"/>
        <v>55.446119999999816</v>
      </c>
      <c r="U572" s="311">
        <f t="shared" ca="1" si="234"/>
        <v>0</v>
      </c>
      <c r="V572" s="306">
        <f t="shared" ca="1" si="235"/>
        <v>0.83518099390124878</v>
      </c>
      <c r="W572" s="304">
        <f t="shared" ca="1" si="236"/>
        <v>1.9842222741996025</v>
      </c>
      <c r="Y572" s="314" t="str">
        <f t="shared" ca="1" si="254"/>
        <v/>
      </c>
      <c r="Z572" s="315" t="str">
        <f t="shared" ca="1" si="255"/>
        <v/>
      </c>
      <c r="AA572" s="316" t="str">
        <f t="shared" ca="1" si="256"/>
        <v/>
      </c>
      <c r="AC572" s="310" t="e">
        <f t="shared" ca="1" si="257"/>
        <v>#N/A</v>
      </c>
      <c r="AD572" s="323" t="e">
        <f t="shared" ca="1" si="258"/>
        <v>#N/A</v>
      </c>
      <c r="AE572" s="324">
        <f t="shared" ca="1" si="237"/>
        <v>3784.3180502366736</v>
      </c>
      <c r="AG572" s="306">
        <f t="shared" ca="1" si="259"/>
        <v>-7.6595439920016757</v>
      </c>
      <c r="AH572" s="304">
        <f t="shared" ca="1" si="260"/>
        <v>-0.36540483385813272</v>
      </c>
    </row>
    <row r="573" spans="1:34" x14ac:dyDescent="0.2">
      <c r="A573" s="347">
        <f t="shared" ca="1" si="238"/>
        <v>0.1</v>
      </c>
      <c r="B573" s="304">
        <f t="shared" ca="1" si="239"/>
        <v>24.900000000000013</v>
      </c>
      <c r="D573" s="306">
        <f t="shared" ca="1" si="240"/>
        <v>-0.23923885365012515</v>
      </c>
      <c r="E573" s="307">
        <f t="shared" ca="1" si="241"/>
        <v>-10.066927547504461</v>
      </c>
      <c r="F573" s="304">
        <f t="shared" ca="1" si="242"/>
        <v>10.069769881968506</v>
      </c>
      <c r="G573" s="306">
        <f t="shared" ca="1" si="243"/>
        <v>25.792219967841302</v>
      </c>
      <c r="H573" s="307">
        <f t="shared" ca="1" si="244"/>
        <v>26.718229117375351</v>
      </c>
      <c r="I573" s="304">
        <f t="shared" ca="1" si="245"/>
        <v>37.136267691275542</v>
      </c>
      <c r="J573" s="306">
        <f t="shared" ca="1" si="246"/>
        <v>763.0119550749107</v>
      </c>
      <c r="K573" s="307">
        <f t="shared" ca="1" si="247"/>
        <v>3787.0402077861486</v>
      </c>
      <c r="L573" s="304">
        <f t="shared" ca="1" si="232"/>
        <v>3863.1413097343711</v>
      </c>
      <c r="M573" s="306">
        <f t="shared" ca="1" si="248"/>
        <v>0.80303109535665618</v>
      </c>
      <c r="N573" s="304">
        <f t="shared" ca="1" si="249"/>
        <v>46.010292581703958</v>
      </c>
      <c r="P573" s="310">
        <f t="shared" ca="1" si="250"/>
        <v>23</v>
      </c>
      <c r="Q573" s="304">
        <f t="shared" ca="1" si="251"/>
        <v>0</v>
      </c>
      <c r="R573" s="306">
        <f t="shared" ca="1" si="252"/>
        <v>0</v>
      </c>
      <c r="S573" s="307">
        <f t="shared" ca="1" si="253"/>
        <v>5.6519999999999806</v>
      </c>
      <c r="T573" s="304">
        <f t="shared" ca="1" si="233"/>
        <v>55.446119999999816</v>
      </c>
      <c r="U573" s="311">
        <f t="shared" ca="1" si="234"/>
        <v>0</v>
      </c>
      <c r="V573" s="306">
        <f t="shared" ca="1" si="235"/>
        <v>0.83494522950194383</v>
      </c>
      <c r="W573" s="304">
        <f t="shared" ca="1" si="236"/>
        <v>1.9062004115228259</v>
      </c>
      <c r="Y573" s="314" t="str">
        <f t="shared" ca="1" si="254"/>
        <v/>
      </c>
      <c r="Z573" s="315" t="str">
        <f t="shared" ca="1" si="255"/>
        <v/>
      </c>
      <c r="AA573" s="316" t="str">
        <f t="shared" ca="1" si="256"/>
        <v/>
      </c>
      <c r="AC573" s="310" t="e">
        <f t="shared" ca="1" si="257"/>
        <v>#N/A</v>
      </c>
      <c r="AD573" s="323" t="e">
        <f t="shared" ca="1" si="258"/>
        <v>#N/A</v>
      </c>
      <c r="AE573" s="324">
        <f t="shared" ca="1" si="237"/>
        <v>3787.0402077861486</v>
      </c>
      <c r="AG573" s="306">
        <f t="shared" ca="1" si="259"/>
        <v>-7.5305210677624039</v>
      </c>
      <c r="AH573" s="304">
        <f t="shared" ca="1" si="260"/>
        <v>-0.35106551206645598</v>
      </c>
    </row>
    <row r="574" spans="1:34" x14ac:dyDescent="0.2">
      <c r="A574" s="347">
        <f t="shared" ca="1" si="238"/>
        <v>0.1</v>
      </c>
      <c r="B574" s="304">
        <f t="shared" ca="1" si="239"/>
        <v>25.000000000000014</v>
      </c>
      <c r="D574" s="306">
        <f t="shared" ca="1" si="240"/>
        <v>-0.23423774374156064</v>
      </c>
      <c r="E574" s="307">
        <f t="shared" ca="1" si="241"/>
        <v>-10.052647500410098</v>
      </c>
      <c r="F574" s="304">
        <f t="shared" ca="1" si="242"/>
        <v>10.055376128623658</v>
      </c>
      <c r="G574" s="306">
        <f t="shared" ca="1" si="243"/>
        <v>25.768796193467146</v>
      </c>
      <c r="H574" s="307">
        <f t="shared" ca="1" si="244"/>
        <v>25.71296436733434</v>
      </c>
      <c r="I574" s="304">
        <f t="shared" ca="1" si="245"/>
        <v>36.403123407425525</v>
      </c>
      <c r="J574" s="306">
        <f t="shared" ca="1" si="246"/>
        <v>765.59000588297613</v>
      </c>
      <c r="K574" s="307">
        <f t="shared" ca="1" si="247"/>
        <v>3789.661767460384</v>
      </c>
      <c r="L574" s="304">
        <f t="shared" ca="1" si="232"/>
        <v>3866.2209415472958</v>
      </c>
      <c r="M574" s="306">
        <f t="shared" ca="1" si="248"/>
        <v>0.7843136666040974</v>
      </c>
      <c r="N574" s="304">
        <f t="shared" ca="1" si="249"/>
        <v>44.937862910845524</v>
      </c>
      <c r="P574" s="310">
        <f t="shared" ca="1" si="250"/>
        <v>23</v>
      </c>
      <c r="Q574" s="304">
        <f t="shared" ca="1" si="251"/>
        <v>0</v>
      </c>
      <c r="R574" s="306">
        <f t="shared" ca="1" si="252"/>
        <v>0</v>
      </c>
      <c r="S574" s="307">
        <f t="shared" ca="1" si="253"/>
        <v>5.6519999999999806</v>
      </c>
      <c r="T574" s="304">
        <f t="shared" ca="1" si="233"/>
        <v>55.446119999999816</v>
      </c>
      <c r="U574" s="311">
        <f t="shared" ca="1" si="234"/>
        <v>0</v>
      </c>
      <c r="V574" s="306">
        <f t="shared" ca="1" si="235"/>
        <v>0.83471822882418789</v>
      </c>
      <c r="W574" s="304">
        <f t="shared" ca="1" si="236"/>
        <v>1.8311809331883229</v>
      </c>
      <c r="Y574" s="314" t="str">
        <f t="shared" ca="1" si="254"/>
        <v/>
      </c>
      <c r="Z574" s="315" t="str">
        <f t="shared" ca="1" si="255"/>
        <v/>
      </c>
      <c r="AA574" s="316" t="str">
        <f t="shared" ca="1" si="256"/>
        <v/>
      </c>
      <c r="AC574" s="310">
        <f t="shared" ca="1" si="257"/>
        <v>25.000000000000014</v>
      </c>
      <c r="AD574" s="323">
        <f t="shared" ca="1" si="258"/>
        <v>765.59000588297613</v>
      </c>
      <c r="AE574" s="324">
        <f t="shared" ca="1" si="237"/>
        <v>3789.661767460384</v>
      </c>
      <c r="AG574" s="306">
        <f t="shared" ca="1" si="259"/>
        <v>-7.3952087174350041</v>
      </c>
      <c r="AH574" s="304">
        <f t="shared" ca="1" si="260"/>
        <v>-0.33726121930694136</v>
      </c>
    </row>
    <row r="575" spans="1:34" x14ac:dyDescent="0.2">
      <c r="A575" s="347">
        <f t="shared" ca="1" si="238"/>
        <v>0.1</v>
      </c>
      <c r="B575" s="304">
        <f t="shared" ca="1" si="239"/>
        <v>25.100000000000016</v>
      </c>
      <c r="D575" s="306">
        <f t="shared" ca="1" si="240"/>
        <v>-0.22934252371392869</v>
      </c>
      <c r="E575" s="307">
        <f t="shared" ca="1" si="241"/>
        <v>-10.038845619946569</v>
      </c>
      <c r="F575" s="304">
        <f t="shared" ca="1" si="242"/>
        <v>10.041465001398146</v>
      </c>
      <c r="G575" s="306">
        <f t="shared" ca="1" si="243"/>
        <v>25.745861941095754</v>
      </c>
      <c r="H575" s="307">
        <f t="shared" ca="1" si="244"/>
        <v>24.709079805339684</v>
      </c>
      <c r="I575" s="304">
        <f t="shared" ca="1" si="245"/>
        <v>35.684562935765491</v>
      </c>
      <c r="J575" s="306">
        <f t="shared" ca="1" si="246"/>
        <v>768.16573878970428</v>
      </c>
      <c r="K575" s="307">
        <f t="shared" ca="1" si="247"/>
        <v>3792.1828696690177</v>
      </c>
      <c r="L575" s="304">
        <f t="shared" ca="1" si="232"/>
        <v>3869.2026981358158</v>
      </c>
      <c r="M575" s="306">
        <f t="shared" ca="1" si="248"/>
        <v>0.76485238115210796</v>
      </c>
      <c r="N575" s="304">
        <f t="shared" ca="1" si="249"/>
        <v>43.822813390547182</v>
      </c>
      <c r="P575" s="310">
        <f t="shared" ca="1" si="250"/>
        <v>23</v>
      </c>
      <c r="Q575" s="304">
        <f t="shared" ca="1" si="251"/>
        <v>0</v>
      </c>
      <c r="R575" s="306">
        <f t="shared" ca="1" si="252"/>
        <v>0</v>
      </c>
      <c r="S575" s="307">
        <f t="shared" ca="1" si="253"/>
        <v>5.6519999999999806</v>
      </c>
      <c r="T575" s="304">
        <f t="shared" ca="1" si="233"/>
        <v>55.446119999999816</v>
      </c>
      <c r="U575" s="311">
        <f t="shared" ca="1" si="234"/>
        <v>0</v>
      </c>
      <c r="V575" s="306">
        <f t="shared" ca="1" si="235"/>
        <v>0.83449997393751785</v>
      </c>
      <c r="W575" s="304">
        <f t="shared" ca="1" si="236"/>
        <v>1.759143043170819</v>
      </c>
      <c r="Y575" s="314" t="str">
        <f t="shared" ca="1" si="254"/>
        <v/>
      </c>
      <c r="Z575" s="315" t="str">
        <f t="shared" ca="1" si="255"/>
        <v/>
      </c>
      <c r="AA575" s="316" t="str">
        <f t="shared" ca="1" si="256"/>
        <v/>
      </c>
      <c r="AC575" s="310" t="e">
        <f t="shared" ca="1" si="257"/>
        <v>#N/A</v>
      </c>
      <c r="AD575" s="323" t="e">
        <f t="shared" ca="1" si="258"/>
        <v>#N/A</v>
      </c>
      <c r="AE575" s="324">
        <f t="shared" ca="1" si="237"/>
        <v>3792.1828696690177</v>
      </c>
      <c r="AG575" s="306">
        <f t="shared" ca="1" si="259"/>
        <v>-7.2531787317205181</v>
      </c>
      <c r="AH575" s="304">
        <f t="shared" ca="1" si="260"/>
        <v>-0.32398813396821108</v>
      </c>
    </row>
    <row r="576" spans="1:34" x14ac:dyDescent="0.2">
      <c r="A576" s="347">
        <f t="shared" ca="1" si="238"/>
        <v>0.1</v>
      </c>
      <c r="B576" s="304">
        <f t="shared" ca="1" si="239"/>
        <v>25.200000000000017</v>
      </c>
      <c r="D576" s="306">
        <f t="shared" ca="1" si="240"/>
        <v>-0.22455672002472565</v>
      </c>
      <c r="E576" s="307">
        <f t="shared" ca="1" si="241"/>
        <v>-10.025513853395585</v>
      </c>
      <c r="F576" s="304">
        <f t="shared" ca="1" si="242"/>
        <v>10.028028407674913</v>
      </c>
      <c r="G576" s="306">
        <f t="shared" ca="1" si="243"/>
        <v>25.723406269093282</v>
      </c>
      <c r="H576" s="307">
        <f t="shared" ca="1" si="244"/>
        <v>23.706528420000126</v>
      </c>
      <c r="I576" s="304">
        <f t="shared" ca="1" si="245"/>
        <v>34.98132530098168</v>
      </c>
      <c r="J576" s="306">
        <f t="shared" ca="1" si="246"/>
        <v>770.73920220021375</v>
      </c>
      <c r="K576" s="307">
        <f t="shared" ca="1" si="247"/>
        <v>3794.6036500802848</v>
      </c>
      <c r="L576" s="304">
        <f t="shared" ca="1" si="232"/>
        <v>3872.0867473509475</v>
      </c>
      <c r="M576" s="306">
        <f t="shared" ca="1" si="248"/>
        <v>0.74461802274346445</v>
      </c>
      <c r="N576" s="304">
        <f t="shared" ca="1" si="249"/>
        <v>42.663470052576855</v>
      </c>
      <c r="P576" s="310">
        <f t="shared" ca="1" si="250"/>
        <v>23</v>
      </c>
      <c r="Q576" s="304">
        <f t="shared" ca="1" si="251"/>
        <v>0</v>
      </c>
      <c r="R576" s="306">
        <f t="shared" ca="1" si="252"/>
        <v>0</v>
      </c>
      <c r="S576" s="307">
        <f t="shared" ca="1" si="253"/>
        <v>5.6519999999999806</v>
      </c>
      <c r="T576" s="304">
        <f t="shared" ca="1" si="233"/>
        <v>55.446119999999816</v>
      </c>
      <c r="U576" s="311">
        <f t="shared" ca="1" si="234"/>
        <v>0</v>
      </c>
      <c r="V576" s="306">
        <f t="shared" ca="1" si="235"/>
        <v>0.83429044755635906</v>
      </c>
      <c r="W576" s="304">
        <f t="shared" ca="1" si="236"/>
        <v>1.6900667328038155</v>
      </c>
      <c r="Y576" s="314" t="str">
        <f t="shared" ca="1" si="254"/>
        <v/>
      </c>
      <c r="Z576" s="315" t="str">
        <f t="shared" ca="1" si="255"/>
        <v>Para</v>
      </c>
      <c r="AA576" s="316" t="str">
        <f t="shared" ca="1" si="256"/>
        <v/>
      </c>
      <c r="AC576" s="310" t="e">
        <f t="shared" ca="1" si="257"/>
        <v>#N/A</v>
      </c>
      <c r="AD576" s="323" t="e">
        <f t="shared" ca="1" si="258"/>
        <v>#N/A</v>
      </c>
      <c r="AE576" s="324" t="e">
        <f t="shared" ca="1" si="237"/>
        <v>#N/A</v>
      </c>
      <c r="AG576" s="306">
        <f t="shared" ca="1" si="259"/>
        <v>-7.103985795233446</v>
      </c>
      <c r="AH576" s="304">
        <f t="shared" ca="1" si="260"/>
        <v>-0.31124257664027338</v>
      </c>
    </row>
    <row r="577" spans="1:34" x14ac:dyDescent="0.2">
      <c r="A577" s="347">
        <f t="shared" ca="1" si="238"/>
        <v>0.1</v>
      </c>
      <c r="B577" s="304">
        <f t="shared" ca="1" si="239"/>
        <v>25.300000000000018</v>
      </c>
      <c r="D577" s="306">
        <f t="shared" ca="1" si="240"/>
        <v>-0.21988414634139691</v>
      </c>
      <c r="E577" s="307">
        <f t="shared" ca="1" si="241"/>
        <v>-10.012643837671407</v>
      </c>
      <c r="F577" s="304">
        <f t="shared" ca="1" si="242"/>
        <v>10.015057945806978</v>
      </c>
      <c r="G577" s="306">
        <f t="shared" ca="1" si="243"/>
        <v>25.701417854459141</v>
      </c>
      <c r="H577" s="307">
        <f t="shared" ca="1" si="244"/>
        <v>22.705264036232986</v>
      </c>
      <c r="I577" s="304">
        <f t="shared" ca="1" si="245"/>
        <v>34.294196224500816</v>
      </c>
      <c r="J577" s="306">
        <f t="shared" ca="1" si="246"/>
        <v>773.31044340639141</v>
      </c>
      <c r="K577" s="307">
        <f t="shared" ca="1" si="247"/>
        <v>3796.9242397030962</v>
      </c>
      <c r="L577" s="304">
        <f t="shared" ca="1" si="232"/>
        <v>3874.8732526272811</v>
      </c>
      <c r="M577" s="306">
        <f t="shared" ca="1" si="248"/>
        <v>0.72358156420182107</v>
      </c>
      <c r="N577" s="304">
        <f t="shared" ca="1" si="249"/>
        <v>41.458169762238761</v>
      </c>
      <c r="P577" s="310">
        <f t="shared" ca="1" si="250"/>
        <v>23</v>
      </c>
      <c r="Q577" s="304">
        <f t="shared" ca="1" si="251"/>
        <v>0</v>
      </c>
      <c r="R577" s="306">
        <f t="shared" ca="1" si="252"/>
        <v>0</v>
      </c>
      <c r="S577" s="307">
        <f t="shared" ca="1" si="253"/>
        <v>5.6519999999999806</v>
      </c>
      <c r="T577" s="304">
        <f t="shared" ca="1" si="233"/>
        <v>55.446119999999816</v>
      </c>
      <c r="U577" s="311">
        <f t="shared" ca="1" si="234"/>
        <v>0</v>
      </c>
      <c r="V577" s="306">
        <f t="shared" ca="1" si="235"/>
        <v>0.83408963303113637</v>
      </c>
      <c r="W577" s="304">
        <f t="shared" ca="1" si="236"/>
        <v>1.6239327644575778</v>
      </c>
      <c r="Y577" s="314" t="str">
        <f t="shared" ca="1" si="254"/>
        <v/>
      </c>
      <c r="Z577" s="315" t="str">
        <f t="shared" ca="1" si="255"/>
        <v/>
      </c>
      <c r="AA577" s="316" t="str">
        <f t="shared" ca="1" si="256"/>
        <v/>
      </c>
      <c r="AC577" s="310" t="e">
        <f t="shared" ca="1" si="257"/>
        <v>#N/A</v>
      </c>
      <c r="AD577" s="323" t="e">
        <f t="shared" ca="1" si="258"/>
        <v>#N/A</v>
      </c>
      <c r="AE577" s="324" t="e">
        <f t="shared" ca="1" si="237"/>
        <v>#N/A</v>
      </c>
      <c r="AG577" s="306">
        <f t="shared" ca="1" si="259"/>
        <v>-6.9471694635522852</v>
      </c>
      <c r="AH577" s="304">
        <f t="shared" ca="1" si="260"/>
        <v>-0.29902100721935976</v>
      </c>
    </row>
    <row r="578" spans="1:34" x14ac:dyDescent="0.2">
      <c r="A578" s="347">
        <f t="shared" ca="1" si="238"/>
        <v>0.1</v>
      </c>
      <c r="B578" s="304">
        <f t="shared" ca="1" si="239"/>
        <v>25.40000000000002</v>
      </c>
      <c r="D578" s="306">
        <f t="shared" ca="1" si="240"/>
        <v>-0.21532891150296618</v>
      </c>
      <c r="E578" s="307">
        <f t="shared" ca="1" si="241"/>
        <v>-10.000226851218686</v>
      </c>
      <c r="F578" s="304">
        <f t="shared" ca="1" si="242"/>
        <v>10.002544856983359</v>
      </c>
      <c r="G578" s="306">
        <f t="shared" ca="1" si="243"/>
        <v>25.679884963308844</v>
      </c>
      <c r="H578" s="307">
        <f t="shared" ca="1" si="244"/>
        <v>21.705241351111116</v>
      </c>
      <c r="I578" s="304">
        <f t="shared" ca="1" si="245"/>
        <v>33.624009187465433</v>
      </c>
      <c r="J578" s="306">
        <f t="shared" ca="1" si="246"/>
        <v>775.87950854727978</v>
      </c>
      <c r="K578" s="307">
        <f t="shared" ca="1" si="247"/>
        <v>3799.1447649724632</v>
      </c>
      <c r="L578" s="304">
        <f t="shared" ca="1" si="232"/>
        <v>3877.5623730639381</v>
      </c>
      <c r="M578" s="306">
        <f t="shared" ca="1" si="248"/>
        <v>0.70171449510527151</v>
      </c>
      <c r="N578" s="304">
        <f t="shared" ca="1" si="249"/>
        <v>40.205278992685521</v>
      </c>
      <c r="P578" s="310">
        <f t="shared" ca="1" si="250"/>
        <v>23</v>
      </c>
      <c r="Q578" s="304">
        <f t="shared" ca="1" si="251"/>
        <v>0</v>
      </c>
      <c r="R578" s="306">
        <f t="shared" ca="1" si="252"/>
        <v>0</v>
      </c>
      <c r="S578" s="307">
        <f t="shared" ca="1" si="253"/>
        <v>5.6519999999999806</v>
      </c>
      <c r="T578" s="304">
        <f t="shared" ca="1" si="233"/>
        <v>55.446119999999816</v>
      </c>
      <c r="U578" s="311">
        <f t="shared" ca="1" si="234"/>
        <v>0</v>
      </c>
      <c r="V578" s="306">
        <f t="shared" ca="1" si="235"/>
        <v>0.83389751433917536</v>
      </c>
      <c r="W578" s="304">
        <f t="shared" ca="1" si="236"/>
        <v>1.5607226551982722</v>
      </c>
      <c r="Y578" s="314" t="str">
        <f t="shared" ca="1" si="254"/>
        <v/>
      </c>
      <c r="Z578" s="315" t="str">
        <f t="shared" ca="1" si="255"/>
        <v/>
      </c>
      <c r="AA578" s="316" t="str">
        <f t="shared" ca="1" si="256"/>
        <v/>
      </c>
      <c r="AC578" s="310" t="e">
        <f t="shared" ca="1" si="257"/>
        <v>#N/A</v>
      </c>
      <c r="AD578" s="323" t="e">
        <f t="shared" ca="1" si="258"/>
        <v>#N/A</v>
      </c>
      <c r="AE578" s="324" t="e">
        <f t="shared" ca="1" si="237"/>
        <v>#N/A</v>
      </c>
      <c r="AG578" s="306">
        <f t="shared" ca="1" si="259"/>
        <v>-6.782256912720988</v>
      </c>
      <c r="AH578" s="304">
        <f t="shared" ca="1" si="260"/>
        <v>-0.28732002202009616</v>
      </c>
    </row>
    <row r="579" spans="1:34" x14ac:dyDescent="0.2">
      <c r="A579" s="347">
        <f t="shared" ca="1" si="238"/>
        <v>0.1</v>
      </c>
      <c r="B579" s="304">
        <f t="shared" ca="1" si="239"/>
        <v>25.500000000000021</v>
      </c>
      <c r="D579" s="306">
        <f t="shared" ca="1" si="240"/>
        <v>-0.21089542550866203</v>
      </c>
      <c r="E579" s="307">
        <f t="shared" ca="1" si="241"/>
        <v>-9.9882537623144003</v>
      </c>
      <c r="F579" s="304">
        <f t="shared" ca="1" si="242"/>
        <v>9.990479973499184</v>
      </c>
      <c r="G579" s="306">
        <f t="shared" ca="1" si="243"/>
        <v>25.658795420757979</v>
      </c>
      <c r="H579" s="307">
        <f t="shared" ca="1" si="244"/>
        <v>20.706415974879675</v>
      </c>
      <c r="I579" s="304">
        <f t="shared" ca="1" si="245"/>
        <v>32.971646076122177</v>
      </c>
      <c r="J579" s="306">
        <f t="shared" ca="1" si="246"/>
        <v>778.44644256648314</v>
      </c>
      <c r="K579" s="307">
        <f t="shared" ca="1" si="247"/>
        <v>3801.2653478387629</v>
      </c>
      <c r="L579" s="304">
        <f t="shared" ca="1" si="232"/>
        <v>3880.1542635086257</v>
      </c>
      <c r="M579" s="306">
        <f t="shared" ca="1" si="248"/>
        <v>0.67898921013185265</v>
      </c>
      <c r="N579" s="304">
        <f t="shared" ca="1" si="249"/>
        <v>38.90321607547655</v>
      </c>
      <c r="P579" s="310">
        <f t="shared" ca="1" si="250"/>
        <v>23</v>
      </c>
      <c r="Q579" s="304">
        <f t="shared" ca="1" si="251"/>
        <v>0</v>
      </c>
      <c r="R579" s="306">
        <f t="shared" ca="1" si="252"/>
        <v>0</v>
      </c>
      <c r="S579" s="307">
        <f t="shared" ca="1" si="253"/>
        <v>5.6519999999999806</v>
      </c>
      <c r="T579" s="304">
        <f t="shared" ca="1" si="233"/>
        <v>55.446119999999816</v>
      </c>
      <c r="U579" s="311">
        <f t="shared" ca="1" si="234"/>
        <v>0</v>
      </c>
      <c r="V579" s="306">
        <f t="shared" ca="1" si="235"/>
        <v>0.83371407607534509</v>
      </c>
      <c r="W579" s="304">
        <f t="shared" ca="1" si="236"/>
        <v>1.5004186603644651</v>
      </c>
      <c r="Y579" s="314" t="str">
        <f t="shared" ca="1" si="254"/>
        <v/>
      </c>
      <c r="Z579" s="315" t="str">
        <f t="shared" ca="1" si="255"/>
        <v/>
      </c>
      <c r="AA579" s="316" t="str">
        <f t="shared" ca="1" si="256"/>
        <v/>
      </c>
      <c r="AC579" s="310" t="e">
        <f t="shared" ca="1" si="257"/>
        <v>#N/A</v>
      </c>
      <c r="AD579" s="323" t="e">
        <f t="shared" ca="1" si="258"/>
        <v>#N/A</v>
      </c>
      <c r="AE579" s="324" t="e">
        <f t="shared" ca="1" si="237"/>
        <v>#N/A</v>
      </c>
      <c r="AG579" s="306">
        <f t="shared" ca="1" si="259"/>
        <v>-6.60876659932529</v>
      </c>
      <c r="AH579" s="304">
        <f t="shared" ca="1" si="260"/>
        <v>-0.27613635088433786</v>
      </c>
    </row>
    <row r="580" spans="1:34" x14ac:dyDescent="0.2">
      <c r="A580" s="347">
        <f t="shared" ca="1" si="238"/>
        <v>0.1</v>
      </c>
      <c r="B580" s="304">
        <f t="shared" ca="1" si="239"/>
        <v>25.600000000000023</v>
      </c>
      <c r="D580" s="306">
        <f t="shared" ca="1" si="240"/>
        <v>-0.2065884029301506</v>
      </c>
      <c r="E580" s="307">
        <f t="shared" ca="1" si="241"/>
        <v>-9.9767149738135057</v>
      </c>
      <c r="F580" s="304">
        <f t="shared" ca="1" si="242"/>
        <v>9.9788536634695593</v>
      </c>
      <c r="G580" s="306">
        <f t="shared" ca="1" si="243"/>
        <v>25.638136580464963</v>
      </c>
      <c r="H580" s="307">
        <f t="shared" ca="1" si="244"/>
        <v>19.708744477498325</v>
      </c>
      <c r="I580" s="304">
        <f t="shared" ca="1" si="245"/>
        <v>32.338037296624798</v>
      </c>
      <c r="J580" s="306">
        <f t="shared" ca="1" si="246"/>
        <v>781.01128916654432</v>
      </c>
      <c r="K580" s="307">
        <f t="shared" ca="1" si="247"/>
        <v>3803.2861058613817</v>
      </c>
      <c r="L580" s="304">
        <f t="shared" ref="L580:L643" ca="1" si="261">SQRT(pos_x^2+pos_z^2)</f>
        <v>3882.6490746452764</v>
      </c>
      <c r="M580" s="306">
        <f t="shared" ca="1" si="248"/>
        <v>0.65537946316329521</v>
      </c>
      <c r="N580" s="304">
        <f t="shared" ca="1" si="249"/>
        <v>37.550477218806421</v>
      </c>
      <c r="P580" s="310">
        <f t="shared" ca="1" si="250"/>
        <v>23</v>
      </c>
      <c r="Q580" s="304">
        <f t="shared" ca="1" si="251"/>
        <v>0</v>
      </c>
      <c r="R580" s="306">
        <f t="shared" ca="1" si="252"/>
        <v>0</v>
      </c>
      <c r="S580" s="307">
        <f t="shared" ca="1" si="253"/>
        <v>5.6519999999999806</v>
      </c>
      <c r="T580" s="304">
        <f t="shared" ref="T580:T643" ca="1" si="262">m*g</f>
        <v>55.446119999999816</v>
      </c>
      <c r="U580" s="311">
        <f t="shared" ref="U580:U643" ca="1" si="263">IF(pos_xz&lt;L_rampe,Poids*COS(Beta),0)</f>
        <v>0</v>
      </c>
      <c r="V580" s="306">
        <f t="shared" ref="V580:V643" ca="1" si="264">Rho_moyen*(20000-Alt_rampe-pos_z)/(20000+Alt_rampe+pos_z)</f>
        <v>0.83353930344239802</v>
      </c>
      <c r="W580" s="304">
        <f t="shared" ref="W580:W643" ca="1" si="265">1/2*Rho*Sref*Cx*vit_xz^2</f>
        <v>1.4430037569936762</v>
      </c>
      <c r="Y580" s="314" t="str">
        <f t="shared" ca="1" si="254"/>
        <v/>
      </c>
      <c r="Z580" s="315" t="str">
        <f t="shared" ca="1" si="255"/>
        <v/>
      </c>
      <c r="AA580" s="316" t="str">
        <f t="shared" ca="1" si="256"/>
        <v/>
      </c>
      <c r="AC580" s="310" t="e">
        <f t="shared" ca="1" si="257"/>
        <v>#N/A</v>
      </c>
      <c r="AD580" s="323" t="e">
        <f t="shared" ca="1" si="258"/>
        <v>#N/A</v>
      </c>
      <c r="AE580" s="324" t="e">
        <f t="shared" ref="AE580:AE643" ca="1" si="266">IF(t&lt;T_para, pos_z, NA())</f>
        <v>#N/A</v>
      </c>
      <c r="AG580" s="306">
        <f t="shared" ca="1" si="259"/>
        <v>-6.4262129767043419</v>
      </c>
      <c r="AH580" s="304">
        <f t="shared" ca="1" si="260"/>
        <v>-0.26546685427538397</v>
      </c>
    </row>
    <row r="581" spans="1:34" x14ac:dyDescent="0.2">
      <c r="A581" s="347">
        <f t="shared" ref="A581:A644" ca="1" si="267">IF(B580+0.01&lt;=T_ini+ROUNDUP(Temps_fin_propu,0), 0.01, IF(K580&gt;0, 0.1, 0.0001))</f>
        <v>0.1</v>
      </c>
      <c r="B581" s="304">
        <f t="shared" ref="B581:B644" ca="1" si="268">B580+pas</f>
        <v>25.700000000000024</v>
      </c>
      <c r="D581" s="306">
        <f t="shared" ref="D581:D644" ca="1" si="269">IF(AND(L580&lt;L_rampe,Poussee&lt;Poids*SIN(M580)),0,(-W580+Poussee)/m*COS(M580)-U580/m*SIN(M580))</f>
        <v>-0.20241286305466913</v>
      </c>
      <c r="E581" s="307">
        <f t="shared" ref="E581:E644" ca="1" si="270">IF(AND(L580&lt;L_rampe,Poussee&lt;Poids*SIN(M580)),0,(-W580+Poussee)/m*SIN(M580)+U580/m*COS(M580)-Poids/m)</f>
        <v>-9.9656003644954065</v>
      </c>
      <c r="F581" s="304">
        <f t="shared" ref="F581:F644" ca="1" si="271">SQRT(acc_x^2+acc_z^2)</f>
        <v>9.9676557721442691</v>
      </c>
      <c r="G581" s="306">
        <f t="shared" ref="G581:G644" ca="1" si="272">G580+acc_x*pas</f>
        <v>25.617895294159496</v>
      </c>
      <c r="H581" s="307">
        <f t="shared" ref="H581:H644" ca="1" si="273">H580+acc_z*pas</f>
        <v>18.712184441048784</v>
      </c>
      <c r="I581" s="304">
        <f t="shared" ref="I581:I644" ca="1" si="274">SQRT(vit_x^2+vit_z^2)</f>
        <v>31.72416123175438</v>
      </c>
      <c r="J581" s="306">
        <f t="shared" ref="J581:J644" ca="1" si="275">J580+0.5*(vit_x+G580)*pas*(K580&gt;=0)</f>
        <v>783.57409076027557</v>
      </c>
      <c r="K581" s="307">
        <f t="shared" ref="K581:K644" ca="1" si="276">K580+0.5*(vit_z+H580)*pas</f>
        <v>3805.2071523073091</v>
      </c>
      <c r="L581" s="304">
        <f t="shared" ca="1" si="261"/>
        <v>3885.0469530858304</v>
      </c>
      <c r="M581" s="306">
        <f t="shared" ref="M581:M644" ca="1" si="277">IF(AND(L580&gt;L_rampe,G581&gt;0),ATAN2(G581,H581),$M$4)</f>
        <v>0.63086089117011068</v>
      </c>
      <c r="N581" s="304">
        <f t="shared" ref="N581:N644" ca="1" si="278">DEGREES(Beta)</f>
        <v>36.145666523909284</v>
      </c>
      <c r="P581" s="310">
        <f t="shared" ref="P581:P644" ca="1" si="279">MATCH(t-pas/2-T_ini,CdP_t)</f>
        <v>23</v>
      </c>
      <c r="Q581" s="304">
        <f t="shared" ref="Q581:Q644" ca="1" si="280">(INDEX(CdP,2,i_P+1)-INDEX(CdP,2,i_P+0))/(INDEX(CdP,1,i_P+1)-INDEX(CdP,1,i_P+0))*(t-pas/2-T_ini-INDEX(CdP,1,i_P+0))+INDEX(CdP,2,i_P+0)</f>
        <v>0</v>
      </c>
      <c r="R581" s="306">
        <f t="shared" ref="R581:R644" ca="1" si="281">Poussee/(g*ISP)</f>
        <v>0</v>
      </c>
      <c r="S581" s="307">
        <f t="shared" ref="S581:S644" ca="1" si="282">S580-Débit*pas</f>
        <v>5.6519999999999806</v>
      </c>
      <c r="T581" s="304">
        <f t="shared" ca="1" si="262"/>
        <v>55.446119999999816</v>
      </c>
      <c r="U581" s="311">
        <f t="shared" ca="1" si="263"/>
        <v>0</v>
      </c>
      <c r="V581" s="306">
        <f t="shared" ca="1" si="264"/>
        <v>0.83337318224095758</v>
      </c>
      <c r="W581" s="304">
        <f t="shared" ca="1" si="265"/>
        <v>1.38846162702821</v>
      </c>
      <c r="Y581" s="314" t="str">
        <f t="shared" ref="Y581:Y644" ca="1" si="283">IF(AND(pos_z&lt;=0,K580&gt;0),"Impact balistique","") &amp; IF(AND(H582&lt;0,vit_z&gt;=0),"Apogée","") &amp; IF(AND(Poussee=0,Q580&gt;0),"Fin de propulsion","") &amp; IF(AND(L582&gt;L_rampe,pos_xz&lt;=L_rampe),"Sortie de rampe","")</f>
        <v/>
      </c>
      <c r="Z581" s="315" t="str">
        <f t="shared" ref="Z581:Z644" ca="1" si="284">IF(ABS(t-T_para)&lt;pas/2,"Para","")</f>
        <v/>
      </c>
      <c r="AA581" s="316" t="str">
        <f t="shared" ref="AA581:AA644" ca="1" si="285">IF(ABS(t-T_satellite)&lt;pas/2,"Satellite","")</f>
        <v/>
      </c>
      <c r="AC581" s="310" t="e">
        <f t="shared" ref="AC581:AC644" ca="1" si="286">IF(ABS(t-ROUND(t,0))&lt;0.001,t,NA())</f>
        <v>#N/A</v>
      </c>
      <c r="AD581" s="323" t="e">
        <f t="shared" ref="AD581:AD644" ca="1" si="287">IF(ABS(t-ROUND(t,0))&lt;0.001,pos_x,NA())</f>
        <v>#N/A</v>
      </c>
      <c r="AE581" s="324" t="e">
        <f t="shared" ca="1" si="266"/>
        <v>#N/A</v>
      </c>
      <c r="AG581" s="306">
        <f t="shared" ref="AG581:AG644" ca="1" si="288">IF(AND(L580&lt;L_rampe,Poussee&lt;Poids*SIN(M580)),0,(-W580+Poussee)/m-Poids*SIN(M580)/m)</f>
        <v>-6.2341124146821398</v>
      </c>
      <c r="AH581" s="304">
        <f t="shared" ref="AH581:AH644" ca="1" si="289">IF(AND(L580&lt;L_rampe,Poussee&lt;Poids*SIN(M580)), g*SIN(M580), (-W580+Poussee)/m)</f>
        <v>-0.25530852034566193</v>
      </c>
    </row>
    <row r="582" spans="1:34" x14ac:dyDescent="0.2">
      <c r="A582" s="347">
        <f t="shared" ca="1" si="267"/>
        <v>0.1</v>
      </c>
      <c r="B582" s="304">
        <f t="shared" ca="1" si="268"/>
        <v>25.800000000000026</v>
      </c>
      <c r="D582" s="306">
        <f t="shared" ca="1" si="269"/>
        <v>-0.19837412597858092</v>
      </c>
      <c r="E582" s="307">
        <f t="shared" ca="1" si="270"/>
        <v>-9.9548992273182311</v>
      </c>
      <c r="F582" s="304">
        <f t="shared" ca="1" si="271"/>
        <v>9.9568755601302392</v>
      </c>
      <c r="G582" s="306">
        <f t="shared" ca="1" si="272"/>
        <v>25.598057881561637</v>
      </c>
      <c r="H582" s="307">
        <f t="shared" ca="1" si="273"/>
        <v>17.71669451831696</v>
      </c>
      <c r="I582" s="304">
        <f t="shared" ca="1" si="274"/>
        <v>31.131042898739228</v>
      </c>
      <c r="J582" s="306">
        <f t="shared" ca="1" si="275"/>
        <v>786.13488841906167</v>
      </c>
      <c r="K582" s="307">
        <f t="shared" ca="1" si="276"/>
        <v>3807.0285962552775</v>
      </c>
      <c r="L582" s="304">
        <f t="shared" ca="1" si="261"/>
        <v>3887.3480414667119</v>
      </c>
      <c r="M582" s="306">
        <f t="shared" ca="1" si="277"/>
        <v>0.60541161023479995</v>
      </c>
      <c r="N582" s="304">
        <f t="shared" ca="1" si="278"/>
        <v>34.687530134673231</v>
      </c>
      <c r="P582" s="310">
        <f t="shared" ca="1" si="279"/>
        <v>23</v>
      </c>
      <c r="Q582" s="304">
        <f t="shared" ca="1" si="280"/>
        <v>0</v>
      </c>
      <c r="R582" s="306">
        <f t="shared" ca="1" si="281"/>
        <v>0</v>
      </c>
      <c r="S582" s="307">
        <f t="shared" ca="1" si="282"/>
        <v>5.6519999999999806</v>
      </c>
      <c r="T582" s="304">
        <f t="shared" ca="1" si="262"/>
        <v>55.446119999999816</v>
      </c>
      <c r="U582" s="311">
        <f t="shared" ca="1" si="263"/>
        <v>0</v>
      </c>
      <c r="V582" s="306">
        <f t="shared" ca="1" si="264"/>
        <v>0.83321569885909441</v>
      </c>
      <c r="W582" s="304">
        <f t="shared" ca="1" si="265"/>
        <v>1.3367766402262968</v>
      </c>
      <c r="Y582" s="314" t="str">
        <f t="shared" ca="1" si="283"/>
        <v/>
      </c>
      <c r="Z582" s="315" t="str">
        <f t="shared" ca="1" si="284"/>
        <v/>
      </c>
      <c r="AA582" s="316" t="str">
        <f t="shared" ca="1" si="285"/>
        <v/>
      </c>
      <c r="AC582" s="310" t="e">
        <f t="shared" ca="1" si="286"/>
        <v>#N/A</v>
      </c>
      <c r="AD582" s="323" t="e">
        <f t="shared" ca="1" si="287"/>
        <v>#N/A</v>
      </c>
      <c r="AE582" s="324" t="e">
        <f t="shared" ca="1" si="266"/>
        <v>#N/A</v>
      </c>
      <c r="AG582" s="306">
        <f t="shared" ca="1" si="288"/>
        <v>-6.031990463800831</v>
      </c>
      <c r="AH582" s="304">
        <f t="shared" ca="1" si="289"/>
        <v>-0.24565846196536001</v>
      </c>
    </row>
    <row r="583" spans="1:34" x14ac:dyDescent="0.2">
      <c r="A583" s="347">
        <f t="shared" ca="1" si="267"/>
        <v>0.1</v>
      </c>
      <c r="B583" s="304">
        <f t="shared" ca="1" si="268"/>
        <v>25.900000000000027</v>
      </c>
      <c r="D583" s="306">
        <f t="shared" ca="1" si="269"/>
        <v>-0.19447780379066085</v>
      </c>
      <c r="E583" s="307">
        <f t="shared" ca="1" si="270"/>
        <v>-9.9446002050739217</v>
      </c>
      <c r="F583" s="304">
        <f t="shared" ca="1" si="271"/>
        <v>9.9465016390147714</v>
      </c>
      <c r="G583" s="306">
        <f t="shared" ca="1" si="272"/>
        <v>25.578610101182569</v>
      </c>
      <c r="H583" s="307">
        <f t="shared" ca="1" si="273"/>
        <v>16.722234497809566</v>
      </c>
      <c r="I583" s="304">
        <f t="shared" ca="1" si="274"/>
        <v>30.559751656517946</v>
      </c>
      <c r="J583" s="306">
        <f t="shared" ca="1" si="275"/>
        <v>788.69372181819892</v>
      </c>
      <c r="K583" s="307">
        <f t="shared" ca="1" si="276"/>
        <v>3808.7505427060837</v>
      </c>
      <c r="L583" s="304">
        <f t="shared" ca="1" si="261"/>
        <v>3889.5524785506277</v>
      </c>
      <c r="M583" s="306">
        <f t="shared" ca="1" si="277"/>
        <v>0.57901288367747483</v>
      </c>
      <c r="N583" s="304">
        <f t="shared" ca="1" si="278"/>
        <v>33.174994518418579</v>
      </c>
      <c r="P583" s="310">
        <f t="shared" ca="1" si="279"/>
        <v>23</v>
      </c>
      <c r="Q583" s="304">
        <f t="shared" ca="1" si="280"/>
        <v>0</v>
      </c>
      <c r="R583" s="306">
        <f t="shared" ca="1" si="281"/>
        <v>0</v>
      </c>
      <c r="S583" s="307">
        <f t="shared" ca="1" si="282"/>
        <v>5.6519999999999806</v>
      </c>
      <c r="T583" s="304">
        <f t="shared" ca="1" si="262"/>
        <v>55.446119999999816</v>
      </c>
      <c r="U583" s="311">
        <f t="shared" ca="1" si="263"/>
        <v>0</v>
      </c>
      <c r="V583" s="306">
        <f t="shared" ca="1" si="264"/>
        <v>0.83306684026144207</v>
      </c>
      <c r="W583" s="304">
        <f t="shared" ca="1" si="265"/>
        <v>1.287933836701789</v>
      </c>
      <c r="Y583" s="314" t="str">
        <f t="shared" ca="1" si="283"/>
        <v/>
      </c>
      <c r="Z583" s="315" t="str">
        <f t="shared" ca="1" si="284"/>
        <v/>
      </c>
      <c r="AA583" s="316" t="str">
        <f t="shared" ca="1" si="285"/>
        <v/>
      </c>
      <c r="AC583" s="310" t="e">
        <f t="shared" ca="1" si="286"/>
        <v>#N/A</v>
      </c>
      <c r="AD583" s="323" t="e">
        <f t="shared" ca="1" si="287"/>
        <v>#N/A</v>
      </c>
      <c r="AE583" s="324" t="e">
        <f t="shared" ca="1" si="266"/>
        <v>#N/A</v>
      </c>
      <c r="AG583" s="306">
        <f t="shared" ca="1" si="288"/>
        <v>-5.8193905873142509</v>
      </c>
      <c r="AH583" s="304">
        <f t="shared" ca="1" si="289"/>
        <v>-0.236513913698921</v>
      </c>
    </row>
    <row r="584" spans="1:34" x14ac:dyDescent="0.2">
      <c r="A584" s="347">
        <f t="shared" ca="1" si="267"/>
        <v>0.1</v>
      </c>
      <c r="B584" s="304">
        <f t="shared" ca="1" si="268"/>
        <v>26.000000000000028</v>
      </c>
      <c r="D584" s="306">
        <f t="shared" ca="1" si="269"/>
        <v>-0.19072978591978171</v>
      </c>
      <c r="E584" s="307">
        <f t="shared" ca="1" si="270"/>
        <v>-9.9346912241615577</v>
      </c>
      <c r="F584" s="304">
        <f t="shared" ca="1" si="271"/>
        <v>9.9365219051069218</v>
      </c>
      <c r="G584" s="306">
        <f t="shared" ca="1" si="272"/>
        <v>25.559537122590591</v>
      </c>
      <c r="H584" s="307">
        <f t="shared" ca="1" si="273"/>
        <v>15.72876537539341</v>
      </c>
      <c r="I584" s="304">
        <f t="shared" ca="1" si="274"/>
        <v>30.011397804088716</v>
      </c>
      <c r="J584" s="306">
        <f t="shared" ca="1" si="275"/>
        <v>791.2506291793876</v>
      </c>
      <c r="K584" s="307">
        <f t="shared" ca="1" si="276"/>
        <v>3810.3730926997437</v>
      </c>
      <c r="L584" s="304">
        <f t="shared" ca="1" si="261"/>
        <v>3891.6603993343238</v>
      </c>
      <c r="M584" s="306">
        <f t="shared" ca="1" si="277"/>
        <v>0.55164985901932329</v>
      </c>
      <c r="N584" s="304">
        <f t="shared" ca="1" si="278"/>
        <v>31.607208690794096</v>
      </c>
      <c r="P584" s="310">
        <f t="shared" ca="1" si="279"/>
        <v>23</v>
      </c>
      <c r="Q584" s="304">
        <f t="shared" ca="1" si="280"/>
        <v>0</v>
      </c>
      <c r="R584" s="306">
        <f t="shared" ca="1" si="281"/>
        <v>0</v>
      </c>
      <c r="S584" s="307">
        <f t="shared" ca="1" si="282"/>
        <v>5.6519999999999806</v>
      </c>
      <c r="T584" s="304">
        <f t="shared" ca="1" si="262"/>
        <v>55.446119999999816</v>
      </c>
      <c r="U584" s="311">
        <f t="shared" ca="1" si="263"/>
        <v>0</v>
      </c>
      <c r="V584" s="306">
        <f t="shared" ca="1" si="264"/>
        <v>0.83292659397779001</v>
      </c>
      <c r="W584" s="304">
        <f t="shared" ca="1" si="265"/>
        <v>1.2419189090134961</v>
      </c>
      <c r="Y584" s="314" t="str">
        <f t="shared" ca="1" si="283"/>
        <v/>
      </c>
      <c r="Z584" s="315" t="str">
        <f t="shared" ca="1" si="284"/>
        <v/>
      </c>
      <c r="AA584" s="316" t="str">
        <f t="shared" ca="1" si="285"/>
        <v/>
      </c>
      <c r="AC584" s="310">
        <f t="shared" ca="1" si="286"/>
        <v>26.000000000000028</v>
      </c>
      <c r="AD584" s="323">
        <f t="shared" ca="1" si="287"/>
        <v>791.2506291793876</v>
      </c>
      <c r="AE584" s="324" t="e">
        <f t="shared" ca="1" si="266"/>
        <v>#N/A</v>
      </c>
      <c r="AG584" s="306">
        <f t="shared" ca="1" si="288"/>
        <v>-5.5958844516987689</v>
      </c>
      <c r="AH584" s="304">
        <f t="shared" ca="1" si="289"/>
        <v>-0.22787222871581625</v>
      </c>
    </row>
    <row r="585" spans="1:34" x14ac:dyDescent="0.2">
      <c r="A585" s="347">
        <f t="shared" ca="1" si="267"/>
        <v>0.1</v>
      </c>
      <c r="B585" s="304">
        <f t="shared" ca="1" si="268"/>
        <v>26.10000000000003</v>
      </c>
      <c r="D585" s="306">
        <f t="shared" ca="1" si="269"/>
        <v>-0.18713621768278504</v>
      </c>
      <c r="E585" s="307">
        <f t="shared" ca="1" si="270"/>
        <v>-9.9251594274596453</v>
      </c>
      <c r="F585" s="304">
        <f t="shared" ca="1" si="271"/>
        <v>9.9269234722777888</v>
      </c>
      <c r="G585" s="306">
        <f t="shared" ca="1" si="272"/>
        <v>25.540823500822313</v>
      </c>
      <c r="H585" s="307">
        <f t="shared" ca="1" si="273"/>
        <v>14.736249432647446</v>
      </c>
      <c r="I585" s="304">
        <f t="shared" ca="1" si="274"/>
        <v>29.487127911028558</v>
      </c>
      <c r="J585" s="306">
        <f t="shared" ca="1" si="275"/>
        <v>793.80564721055828</v>
      </c>
      <c r="K585" s="307">
        <f t="shared" ca="1" si="276"/>
        <v>3811.8963434401458</v>
      </c>
      <c r="L585" s="304">
        <f t="shared" ca="1" si="261"/>
        <v>3893.6719351629672</v>
      </c>
      <c r="M585" s="306">
        <f t="shared" ca="1" si="277"/>
        <v>0.52331236637677714</v>
      </c>
      <c r="N585" s="304">
        <f t="shared" ca="1" si="278"/>
        <v>29.983589960393179</v>
      </c>
      <c r="P585" s="310">
        <f t="shared" ca="1" si="279"/>
        <v>23</v>
      </c>
      <c r="Q585" s="304">
        <f t="shared" ca="1" si="280"/>
        <v>0</v>
      </c>
      <c r="R585" s="306">
        <f t="shared" ca="1" si="281"/>
        <v>0</v>
      </c>
      <c r="S585" s="307">
        <f t="shared" ca="1" si="282"/>
        <v>5.6519999999999806</v>
      </c>
      <c r="T585" s="304">
        <f t="shared" ca="1" si="262"/>
        <v>55.446119999999816</v>
      </c>
      <c r="U585" s="311">
        <f t="shared" ca="1" si="263"/>
        <v>0</v>
      </c>
      <c r="V585" s="306">
        <f t="shared" ca="1" si="264"/>
        <v>0.83279494809109733</v>
      </c>
      <c r="W585" s="304">
        <f t="shared" ca="1" si="265"/>
        <v>1.1987181837240271</v>
      </c>
      <c r="Y585" s="314" t="str">
        <f t="shared" ca="1" si="283"/>
        <v/>
      </c>
      <c r="Z585" s="315" t="str">
        <f t="shared" ca="1" si="284"/>
        <v/>
      </c>
      <c r="AA585" s="316" t="str">
        <f t="shared" ca="1" si="285"/>
        <v/>
      </c>
      <c r="AC585" s="310" t="e">
        <f t="shared" ca="1" si="286"/>
        <v>#N/A</v>
      </c>
      <c r="AD585" s="323" t="e">
        <f t="shared" ca="1" si="287"/>
        <v>#N/A</v>
      </c>
      <c r="AE585" s="324" t="e">
        <f t="shared" ca="1" si="266"/>
        <v>#N/A</v>
      </c>
      <c r="AG585" s="306">
        <f t="shared" ca="1" si="288"/>
        <v>-5.361083815589927</v>
      </c>
      <c r="AH585" s="304">
        <f t="shared" ca="1" si="289"/>
        <v>-0.21973087562163843</v>
      </c>
    </row>
    <row r="586" spans="1:34" x14ac:dyDescent="0.2">
      <c r="A586" s="347">
        <f t="shared" ca="1" si="267"/>
        <v>0.1</v>
      </c>
      <c r="B586" s="304">
        <f t="shared" ca="1" si="268"/>
        <v>26.200000000000031</v>
      </c>
      <c r="D586" s="306">
        <f t="shared" ca="1" si="269"/>
        <v>-0.18370347106746013</v>
      </c>
      <c r="E586" s="307">
        <f t="shared" ca="1" si="270"/>
        <v>-9.9159911075774865</v>
      </c>
      <c r="F586" s="304">
        <f t="shared" ca="1" si="271"/>
        <v>9.9176926051797967</v>
      </c>
      <c r="G586" s="306">
        <f t="shared" ca="1" si="272"/>
        <v>25.522453153715567</v>
      </c>
      <c r="H586" s="307">
        <f t="shared" ca="1" si="273"/>
        <v>13.744650321889697</v>
      </c>
      <c r="I586" s="304">
        <f t="shared" ca="1" si="274"/>
        <v>28.988118729138467</v>
      </c>
      <c r="J586" s="306">
        <f t="shared" ca="1" si="275"/>
        <v>796.35881104328519</v>
      </c>
      <c r="K586" s="307">
        <f t="shared" ca="1" si="276"/>
        <v>3813.3203884278728</v>
      </c>
      <c r="L586" s="304">
        <f t="shared" ca="1" si="261"/>
        <v>3895.5872138518448</v>
      </c>
      <c r="M586" s="306">
        <f t="shared" ca="1" si="277"/>
        <v>0.49399576580470989</v>
      </c>
      <c r="N586" s="304">
        <f t="shared" ca="1" si="278"/>
        <v>28.30387247794291</v>
      </c>
      <c r="P586" s="310">
        <f t="shared" ca="1" si="279"/>
        <v>23</v>
      </c>
      <c r="Q586" s="304">
        <f t="shared" ca="1" si="280"/>
        <v>0</v>
      </c>
      <c r="R586" s="306">
        <f t="shared" ca="1" si="281"/>
        <v>0</v>
      </c>
      <c r="S586" s="307">
        <f t="shared" ca="1" si="282"/>
        <v>5.6519999999999806</v>
      </c>
      <c r="T586" s="304">
        <f t="shared" ca="1" si="262"/>
        <v>55.446119999999816</v>
      </c>
      <c r="U586" s="311">
        <f t="shared" ca="1" si="263"/>
        <v>0</v>
      </c>
      <c r="V586" s="306">
        <f t="shared" ca="1" si="264"/>
        <v>0.83267189122486418</v>
      </c>
      <c r="W586" s="304">
        <f t="shared" ca="1" si="265"/>
        <v>1.1583186023479692</v>
      </c>
      <c r="Y586" s="314" t="str">
        <f t="shared" ca="1" si="283"/>
        <v/>
      </c>
      <c r="Z586" s="315" t="str">
        <f t="shared" ca="1" si="284"/>
        <v/>
      </c>
      <c r="AA586" s="316" t="str">
        <f t="shared" ca="1" si="285"/>
        <v/>
      </c>
      <c r="AC586" s="310" t="e">
        <f t="shared" ca="1" si="286"/>
        <v>#N/A</v>
      </c>
      <c r="AD586" s="323" t="e">
        <f t="shared" ca="1" si="287"/>
        <v>#N/A</v>
      </c>
      <c r="AE586" s="324" t="e">
        <f t="shared" ca="1" si="266"/>
        <v>#N/A</v>
      </c>
      <c r="AG586" s="306">
        <f t="shared" ca="1" si="288"/>
        <v>-5.1146539845880001</v>
      </c>
      <c r="AH586" s="304">
        <f t="shared" ca="1" si="289"/>
        <v>-0.2120874351953346</v>
      </c>
    </row>
    <row r="587" spans="1:34" x14ac:dyDescent="0.2">
      <c r="A587" s="347">
        <f t="shared" ca="1" si="267"/>
        <v>0.1</v>
      </c>
      <c r="B587" s="304">
        <f t="shared" ca="1" si="268"/>
        <v>26.300000000000033</v>
      </c>
      <c r="D587" s="306">
        <f t="shared" ca="1" si="269"/>
        <v>-0.18043810683670425</v>
      </c>
      <c r="E587" s="307">
        <f t="shared" ca="1" si="270"/>
        <v>-9.9071716420940223</v>
      </c>
      <c r="F587" s="304">
        <f t="shared" ca="1" si="271"/>
        <v>9.9088146544534155</v>
      </c>
      <c r="G587" s="306">
        <f t="shared" ca="1" si="272"/>
        <v>25.504409343031895</v>
      </c>
      <c r="H587" s="307">
        <f t="shared" ca="1" si="273"/>
        <v>12.753933157680295</v>
      </c>
      <c r="I587" s="304">
        <f t="shared" ca="1" si="274"/>
        <v>28.515569552921601</v>
      </c>
      <c r="J587" s="306">
        <f t="shared" ca="1" si="275"/>
        <v>798.91015416812252</v>
      </c>
      <c r="K587" s="307">
        <f t="shared" ca="1" si="276"/>
        <v>3814.6453176018513</v>
      </c>
      <c r="L587" s="304">
        <f t="shared" ca="1" si="261"/>
        <v>3897.4063598160587</v>
      </c>
      <c r="M587" s="306">
        <f t="shared" ca="1" si="277"/>
        <v>0.46370182517287123</v>
      </c>
      <c r="N587" s="304">
        <f t="shared" ca="1" si="278"/>
        <v>26.568157534918676</v>
      </c>
      <c r="P587" s="310">
        <f t="shared" ca="1" si="279"/>
        <v>23</v>
      </c>
      <c r="Q587" s="304">
        <f t="shared" ca="1" si="280"/>
        <v>0</v>
      </c>
      <c r="R587" s="306">
        <f t="shared" ca="1" si="281"/>
        <v>0</v>
      </c>
      <c r="S587" s="307">
        <f t="shared" ca="1" si="282"/>
        <v>5.6519999999999806</v>
      </c>
      <c r="T587" s="304">
        <f t="shared" ca="1" si="262"/>
        <v>55.446119999999816</v>
      </c>
      <c r="U587" s="311">
        <f t="shared" ca="1" si="263"/>
        <v>0</v>
      </c>
      <c r="V587" s="306">
        <f t="shared" ca="1" si="264"/>
        <v>0.83255741252980919</v>
      </c>
      <c r="W587" s="304">
        <f t="shared" ca="1" si="265"/>
        <v>1.1207077016108011</v>
      </c>
      <c r="Y587" s="314" t="str">
        <f t="shared" ca="1" si="283"/>
        <v/>
      </c>
      <c r="Z587" s="315" t="str">
        <f t="shared" ca="1" si="284"/>
        <v/>
      </c>
      <c r="AA587" s="316" t="str">
        <f t="shared" ca="1" si="285"/>
        <v/>
      </c>
      <c r="AC587" s="310" t="e">
        <f t="shared" ca="1" si="286"/>
        <v>#N/A</v>
      </c>
      <c r="AD587" s="323" t="e">
        <f t="shared" ca="1" si="287"/>
        <v>#N/A</v>
      </c>
      <c r="AE587" s="324" t="e">
        <f t="shared" ca="1" si="266"/>
        <v>#N/A</v>
      </c>
      <c r="AG587" s="306">
        <f t="shared" ca="1" si="288"/>
        <v>-4.8563287029352145</v>
      </c>
      <c r="AH587" s="304">
        <f t="shared" ca="1" si="289"/>
        <v>-0.20493959701839581</v>
      </c>
    </row>
    <row r="588" spans="1:34" x14ac:dyDescent="0.2">
      <c r="A588" s="347">
        <f t="shared" ca="1" si="267"/>
        <v>0.1</v>
      </c>
      <c r="B588" s="304">
        <f t="shared" ca="1" si="268"/>
        <v>26.400000000000034</v>
      </c>
      <c r="D588" s="306">
        <f t="shared" ca="1" si="269"/>
        <v>-0.17734682715801345</v>
      </c>
      <c r="E588" s="307">
        <f t="shared" ca="1" si="270"/>
        <v>-9.8986854327374552</v>
      </c>
      <c r="F588" s="304">
        <f t="shared" ca="1" si="271"/>
        <v>9.9002739958746453</v>
      </c>
      <c r="G588" s="306">
        <f t="shared" ca="1" si="272"/>
        <v>25.486674660316094</v>
      </c>
      <c r="H588" s="307">
        <f t="shared" ca="1" si="273"/>
        <v>11.76406461440655</v>
      </c>
      <c r="I588" s="304">
        <f t="shared" ca="1" si="274"/>
        <v>28.070692928617397</v>
      </c>
      <c r="J588" s="306">
        <f t="shared" ca="1" si="275"/>
        <v>801.45970836828997</v>
      </c>
      <c r="K588" s="307">
        <f t="shared" ca="1" si="276"/>
        <v>3815.8712174904558</v>
      </c>
      <c r="L588" s="304">
        <f t="shared" ca="1" si="261"/>
        <v>3899.1294942089162</v>
      </c>
      <c r="M588" s="306">
        <f t="shared" ca="1" si="277"/>
        <v>0.43243960356317013</v>
      </c>
      <c r="N588" s="304">
        <f t="shared" ca="1" si="278"/>
        <v>24.776964178480124</v>
      </c>
      <c r="P588" s="310">
        <f t="shared" ca="1" si="279"/>
        <v>23</v>
      </c>
      <c r="Q588" s="304">
        <f t="shared" ca="1" si="280"/>
        <v>0</v>
      </c>
      <c r="R588" s="306">
        <f t="shared" ca="1" si="281"/>
        <v>0</v>
      </c>
      <c r="S588" s="307">
        <f t="shared" ca="1" si="282"/>
        <v>5.6519999999999806</v>
      </c>
      <c r="T588" s="304">
        <f t="shared" ca="1" si="262"/>
        <v>55.446119999999816</v>
      </c>
      <c r="U588" s="311">
        <f t="shared" ca="1" si="263"/>
        <v>0</v>
      </c>
      <c r="V588" s="306">
        <f t="shared" ca="1" si="264"/>
        <v>0.8324515016697871</v>
      </c>
      <c r="W588" s="304">
        <f t="shared" ca="1" si="265"/>
        <v>1.0858735929433765</v>
      </c>
      <c r="Y588" s="314" t="str">
        <f t="shared" ca="1" si="283"/>
        <v/>
      </c>
      <c r="Z588" s="315" t="str">
        <f t="shared" ca="1" si="284"/>
        <v/>
      </c>
      <c r="AA588" s="316" t="str">
        <f t="shared" ca="1" si="285"/>
        <v/>
      </c>
      <c r="AC588" s="310" t="e">
        <f t="shared" ca="1" si="286"/>
        <v>#N/A</v>
      </c>
      <c r="AD588" s="323" t="e">
        <f t="shared" ca="1" si="287"/>
        <v>#N/A</v>
      </c>
      <c r="AE588" s="324" t="e">
        <f t="shared" ca="1" si="266"/>
        <v>#N/A</v>
      </c>
      <c r="AG588" s="306">
        <f t="shared" ca="1" si="288"/>
        <v>-4.5859262320140051</v>
      </c>
      <c r="AH588" s="304">
        <f t="shared" ca="1" si="289"/>
        <v>-0.1982851559820957</v>
      </c>
    </row>
    <row r="589" spans="1:34" x14ac:dyDescent="0.2">
      <c r="A589" s="347">
        <f t="shared" ca="1" si="267"/>
        <v>0.1</v>
      </c>
      <c r="B589" s="304">
        <f t="shared" ca="1" si="268"/>
        <v>26.500000000000036</v>
      </c>
      <c r="D589" s="306">
        <f t="shared" ca="1" si="269"/>
        <v>-0.17443641816190003</v>
      </c>
      <c r="E589" s="307">
        <f t="shared" ca="1" si="270"/>
        <v>-9.890515850800945</v>
      </c>
      <c r="F589" s="304">
        <f t="shared" ca="1" si="271"/>
        <v>9.8920539757386017</v>
      </c>
      <c r="G589" s="306">
        <f t="shared" ca="1" si="272"/>
        <v>25.469231018499904</v>
      </c>
      <c r="H589" s="307">
        <f t="shared" ca="1" si="273"/>
        <v>10.775013029326455</v>
      </c>
      <c r="I589" s="304">
        <f t="shared" ca="1" si="274"/>
        <v>27.654703658796862</v>
      </c>
      <c r="J589" s="306">
        <f t="shared" ca="1" si="275"/>
        <v>804.00750365223075</v>
      </c>
      <c r="K589" s="307">
        <f t="shared" ca="1" si="276"/>
        <v>3816.9981713726424</v>
      </c>
      <c r="L589" s="304">
        <f t="shared" ca="1" si="261"/>
        <v>3900.756735069644</v>
      </c>
      <c r="M589" s="306">
        <f t="shared" ca="1" si="277"/>
        <v>0.40022630826986277</v>
      </c>
      <c r="N589" s="304">
        <f t="shared" ca="1" si="278"/>
        <v>22.931278313964974</v>
      </c>
      <c r="P589" s="310">
        <f t="shared" ca="1" si="279"/>
        <v>23</v>
      </c>
      <c r="Q589" s="304">
        <f t="shared" ca="1" si="280"/>
        <v>0</v>
      </c>
      <c r="R589" s="306">
        <f t="shared" ca="1" si="281"/>
        <v>0</v>
      </c>
      <c r="S589" s="307">
        <f t="shared" ca="1" si="282"/>
        <v>5.6519999999999806</v>
      </c>
      <c r="T589" s="304">
        <f t="shared" ca="1" si="262"/>
        <v>55.446119999999816</v>
      </c>
      <c r="U589" s="311">
        <f t="shared" ca="1" si="263"/>
        <v>0</v>
      </c>
      <c r="V589" s="306">
        <f t="shared" ca="1" si="264"/>
        <v>0.83235414880690617</v>
      </c>
      <c r="W589" s="304">
        <f t="shared" ca="1" si="265"/>
        <v>1.0538049411425985</v>
      </c>
      <c r="Y589" s="314" t="str">
        <f t="shared" ca="1" si="283"/>
        <v/>
      </c>
      <c r="Z589" s="315" t="str">
        <f t="shared" ca="1" si="284"/>
        <v/>
      </c>
      <c r="AA589" s="316" t="str">
        <f t="shared" ca="1" si="285"/>
        <v/>
      </c>
      <c r="AC589" s="310" t="e">
        <f t="shared" ca="1" si="286"/>
        <v>#N/A</v>
      </c>
      <c r="AD589" s="323" t="e">
        <f t="shared" ca="1" si="287"/>
        <v>#N/A</v>
      </c>
      <c r="AE589" s="324" t="e">
        <f t="shared" ca="1" si="266"/>
        <v>#N/A</v>
      </c>
      <c r="AG589" s="306">
        <f t="shared" ca="1" si="288"/>
        <v>-4.3033662220032527</v>
      </c>
      <c r="AH589" s="304">
        <f t="shared" ca="1" si="289"/>
        <v>-0.19212200865947987</v>
      </c>
    </row>
    <row r="590" spans="1:34" x14ac:dyDescent="0.2">
      <c r="A590" s="347">
        <f t="shared" ca="1" si="267"/>
        <v>0.1</v>
      </c>
      <c r="B590" s="304">
        <f t="shared" ca="1" si="268"/>
        <v>26.600000000000037</v>
      </c>
      <c r="D590" s="306">
        <f t="shared" ca="1" si="269"/>
        <v>-0.17171368212569968</v>
      </c>
      <c r="E590" s="307">
        <f t="shared" ca="1" si="270"/>
        <v>-9.8826451914026823</v>
      </c>
      <c r="F590" s="304">
        <f t="shared" ca="1" si="271"/>
        <v>9.8841368650875996</v>
      </c>
      <c r="G590" s="306">
        <f t="shared" ca="1" si="272"/>
        <v>25.452059650287335</v>
      </c>
      <c r="H590" s="307">
        <f t="shared" ca="1" si="273"/>
        <v>9.7867485101861877</v>
      </c>
      <c r="I590" s="304">
        <f t="shared" ca="1" si="274"/>
        <v>27.268806113275591</v>
      </c>
      <c r="J590" s="306">
        <f t="shared" ca="1" si="275"/>
        <v>806.55356818567009</v>
      </c>
      <c r="K590" s="307">
        <f t="shared" ca="1" si="276"/>
        <v>3818.026259449618</v>
      </c>
      <c r="L590" s="304">
        <f t="shared" ca="1" si="261"/>
        <v>3902.2881974810471</v>
      </c>
      <c r="M590" s="306">
        <f t="shared" ca="1" si="277"/>
        <v>0.3670880868012395</v>
      </c>
      <c r="N590" s="304">
        <f t="shared" ca="1" si="278"/>
        <v>21.032598083243045</v>
      </c>
      <c r="P590" s="310">
        <f t="shared" ca="1" si="279"/>
        <v>23</v>
      </c>
      <c r="Q590" s="304">
        <f t="shared" ca="1" si="280"/>
        <v>0</v>
      </c>
      <c r="R590" s="306">
        <f t="shared" ca="1" si="281"/>
        <v>0</v>
      </c>
      <c r="S590" s="307">
        <f t="shared" ca="1" si="282"/>
        <v>5.6519999999999806</v>
      </c>
      <c r="T590" s="304">
        <f t="shared" ca="1" si="262"/>
        <v>55.446119999999816</v>
      </c>
      <c r="U590" s="311">
        <f t="shared" ca="1" si="263"/>
        <v>0</v>
      </c>
      <c r="V590" s="306">
        <f t="shared" ca="1" si="264"/>
        <v>0.83226534458578949</v>
      </c>
      <c r="W590" s="304">
        <f t="shared" ca="1" si="265"/>
        <v>1.0244909421372952</v>
      </c>
      <c r="Y590" s="314" t="str">
        <f t="shared" ca="1" si="283"/>
        <v/>
      </c>
      <c r="Z590" s="315" t="str">
        <f t="shared" ca="1" si="284"/>
        <v/>
      </c>
      <c r="AA590" s="316" t="str">
        <f t="shared" ca="1" si="285"/>
        <v/>
      </c>
      <c r="AC590" s="310" t="e">
        <f t="shared" ca="1" si="286"/>
        <v>#N/A</v>
      </c>
      <c r="AD590" s="323" t="e">
        <f t="shared" ca="1" si="287"/>
        <v>#N/A</v>
      </c>
      <c r="AE590" s="324" t="e">
        <f t="shared" ca="1" si="266"/>
        <v>#N/A</v>
      </c>
      <c r="AG590" s="306">
        <f t="shared" ca="1" si="288"/>
        <v>-4.0086868226269052</v>
      </c>
      <c r="AH590" s="304">
        <f t="shared" ca="1" si="289"/>
        <v>-0.18644814952983052</v>
      </c>
    </row>
    <row r="591" spans="1:34" x14ac:dyDescent="0.2">
      <c r="A591" s="347">
        <f t="shared" ca="1" si="267"/>
        <v>0.1</v>
      </c>
      <c r="B591" s="304">
        <f t="shared" ca="1" si="268"/>
        <v>26.700000000000038</v>
      </c>
      <c r="D591" s="306">
        <f t="shared" ca="1" si="269"/>
        <v>-0.1691853593725593</v>
      </c>
      <c r="E591" s="307">
        <f t="shared" ca="1" si="270"/>
        <v>-9.8750546394490328</v>
      </c>
      <c r="F591" s="304">
        <f t="shared" ca="1" si="271"/>
        <v>9.8765038256424464</v>
      </c>
      <c r="G591" s="306">
        <f t="shared" ca="1" si="272"/>
        <v>25.435141114350078</v>
      </c>
      <c r="H591" s="307">
        <f t="shared" ca="1" si="273"/>
        <v>8.7992430462412852</v>
      </c>
      <c r="I591" s="304">
        <f t="shared" ca="1" si="274"/>
        <v>26.914179937232479</v>
      </c>
      <c r="J591" s="306">
        <f t="shared" ca="1" si="275"/>
        <v>809.09792822390193</v>
      </c>
      <c r="K591" s="307">
        <f t="shared" ca="1" si="276"/>
        <v>3818.9555590274394</v>
      </c>
      <c r="L591" s="304">
        <f t="shared" ca="1" si="261"/>
        <v>3903.7239937376198</v>
      </c>
      <c r="M591" s="306">
        <f t="shared" ca="1" si="277"/>
        <v>0.33306070952953298</v>
      </c>
      <c r="N591" s="304">
        <f t="shared" ca="1" si="278"/>
        <v>19.082972977674878</v>
      </c>
      <c r="P591" s="310">
        <f t="shared" ca="1" si="279"/>
        <v>23</v>
      </c>
      <c r="Q591" s="304">
        <f t="shared" ca="1" si="280"/>
        <v>0</v>
      </c>
      <c r="R591" s="306">
        <f t="shared" ca="1" si="281"/>
        <v>0</v>
      </c>
      <c r="S591" s="307">
        <f t="shared" ca="1" si="282"/>
        <v>5.6519999999999806</v>
      </c>
      <c r="T591" s="304">
        <f t="shared" ca="1" si="262"/>
        <v>55.446119999999816</v>
      </c>
      <c r="U591" s="311">
        <f t="shared" ca="1" si="263"/>
        <v>0</v>
      </c>
      <c r="V591" s="306">
        <f t="shared" ca="1" si="264"/>
        <v>0.8321850801169528</v>
      </c>
      <c r="W591" s="304">
        <f t="shared" ca="1" si="265"/>
        <v>0.99792129980968269</v>
      </c>
      <c r="Y591" s="314" t="str">
        <f t="shared" ca="1" si="283"/>
        <v/>
      </c>
      <c r="Z591" s="315" t="str">
        <f t="shared" ca="1" si="284"/>
        <v/>
      </c>
      <c r="AA591" s="316" t="str">
        <f t="shared" ca="1" si="285"/>
        <v/>
      </c>
      <c r="AC591" s="310" t="e">
        <f t="shared" ca="1" si="286"/>
        <v>#N/A</v>
      </c>
      <c r="AD591" s="323" t="e">
        <f t="shared" ca="1" si="287"/>
        <v>#N/A</v>
      </c>
      <c r="AE591" s="324" t="e">
        <f t="shared" ca="1" si="266"/>
        <v>#N/A</v>
      </c>
      <c r="AG591" s="306">
        <f t="shared" ca="1" si="288"/>
        <v>-3.7020613121083312</v>
      </c>
      <c r="AH591" s="304">
        <f t="shared" ca="1" si="289"/>
        <v>-0.18126166704481578</v>
      </c>
    </row>
    <row r="592" spans="1:34" x14ac:dyDescent="0.2">
      <c r="A592" s="347">
        <f t="shared" ca="1" si="267"/>
        <v>0.1</v>
      </c>
      <c r="B592" s="304">
        <f t="shared" ca="1" si="268"/>
        <v>26.80000000000004</v>
      </c>
      <c r="D592" s="306">
        <f t="shared" ca="1" si="269"/>
        <v>-0.16685804046827316</v>
      </c>
      <c r="E592" s="307">
        <f t="shared" ca="1" si="270"/>
        <v>-9.8677242503078375</v>
      </c>
      <c r="F592" s="304">
        <f t="shared" ca="1" si="271"/>
        <v>9.86913489044416</v>
      </c>
      <c r="G592" s="306">
        <f t="shared" ca="1" si="272"/>
        <v>25.418455310303251</v>
      </c>
      <c r="H592" s="307">
        <f t="shared" ca="1" si="273"/>
        <v>7.8124706212105011</v>
      </c>
      <c r="I592" s="304">
        <f t="shared" ca="1" si="274"/>
        <v>26.591964342055679</v>
      </c>
      <c r="J592" s="306">
        <f t="shared" ca="1" si="275"/>
        <v>811.64060804513463</v>
      </c>
      <c r="K592" s="307">
        <f t="shared" ca="1" si="276"/>
        <v>3819.7861447108121</v>
      </c>
      <c r="L592" s="304">
        <f t="shared" ca="1" si="261"/>
        <v>3905.0642335245348</v>
      </c>
      <c r="M592" s="306">
        <f t="shared" ca="1" si="277"/>
        <v>0.29819009467273572</v>
      </c>
      <c r="N592" s="304">
        <f t="shared" ca="1" si="278"/>
        <v>17.08503391735421</v>
      </c>
      <c r="P592" s="310">
        <f t="shared" ca="1" si="279"/>
        <v>23</v>
      </c>
      <c r="Q592" s="304">
        <f t="shared" ca="1" si="280"/>
        <v>0</v>
      </c>
      <c r="R592" s="306">
        <f t="shared" ca="1" si="281"/>
        <v>0</v>
      </c>
      <c r="S592" s="307">
        <f t="shared" ca="1" si="282"/>
        <v>5.6519999999999806</v>
      </c>
      <c r="T592" s="304">
        <f t="shared" ca="1" si="262"/>
        <v>55.446119999999816</v>
      </c>
      <c r="U592" s="311">
        <f t="shared" ca="1" si="263"/>
        <v>0</v>
      </c>
      <c r="V592" s="306">
        <f t="shared" ca="1" si="264"/>
        <v>0.83211334695926575</v>
      </c>
      <c r="W592" s="304">
        <f t="shared" ca="1" si="265"/>
        <v>0.97408620183728478</v>
      </c>
      <c r="Y592" s="314" t="str">
        <f t="shared" ca="1" si="283"/>
        <v/>
      </c>
      <c r="Z592" s="315" t="str">
        <f t="shared" ca="1" si="284"/>
        <v/>
      </c>
      <c r="AA592" s="316" t="str">
        <f t="shared" ca="1" si="285"/>
        <v/>
      </c>
      <c r="AC592" s="310" t="e">
        <f t="shared" ca="1" si="286"/>
        <v>#N/A</v>
      </c>
      <c r="AD592" s="323" t="e">
        <f t="shared" ca="1" si="287"/>
        <v>#N/A</v>
      </c>
      <c r="AE592" s="324" t="e">
        <f t="shared" ca="1" si="266"/>
        <v>#N/A</v>
      </c>
      <c r="AG592" s="306">
        <f t="shared" ca="1" si="288"/>
        <v>-3.3838133656502181</v>
      </c>
      <c r="AH592" s="304">
        <f t="shared" ca="1" si="289"/>
        <v>-0.17656073952754531</v>
      </c>
    </row>
    <row r="593" spans="1:34" x14ac:dyDescent="0.2">
      <c r="A593" s="347">
        <f t="shared" ca="1" si="267"/>
        <v>0.1</v>
      </c>
      <c r="B593" s="304">
        <f t="shared" ca="1" si="268"/>
        <v>26.900000000000041</v>
      </c>
      <c r="D593" s="306">
        <f t="shared" ca="1" si="269"/>
        <v>-0.1647380698791063</v>
      </c>
      <c r="E593" s="307">
        <f t="shared" ca="1" si="270"/>
        <v>-9.8606329482029444</v>
      </c>
      <c r="F593" s="304">
        <f t="shared" ca="1" si="271"/>
        <v>9.8620089622172316</v>
      </c>
      <c r="G593" s="306">
        <f t="shared" ca="1" si="272"/>
        <v>25.401981503315341</v>
      </c>
      <c r="H593" s="307">
        <f t="shared" ca="1" si="273"/>
        <v>6.826407326390207</v>
      </c>
      <c r="I593" s="304">
        <f t="shared" ca="1" si="274"/>
        <v>26.303241269481763</v>
      </c>
      <c r="J593" s="306">
        <f t="shared" ca="1" si="275"/>
        <v>814.1816298858156</v>
      </c>
      <c r="K593" s="307">
        <f t="shared" ca="1" si="276"/>
        <v>3820.5180886081921</v>
      </c>
      <c r="L593" s="304">
        <f t="shared" ca="1" si="261"/>
        <v>3906.3090241077853</v>
      </c>
      <c r="M593" s="306">
        <f t="shared" ca="1" si="277"/>
        <v>0.26253262605141814</v>
      </c>
      <c r="N593" s="304">
        <f t="shared" ca="1" si="278"/>
        <v>15.042011457232546</v>
      </c>
      <c r="P593" s="310">
        <f t="shared" ca="1" si="279"/>
        <v>23</v>
      </c>
      <c r="Q593" s="304">
        <f t="shared" ca="1" si="280"/>
        <v>0</v>
      </c>
      <c r="R593" s="306">
        <f t="shared" ca="1" si="281"/>
        <v>0</v>
      </c>
      <c r="S593" s="307">
        <f t="shared" ca="1" si="282"/>
        <v>5.6519999999999806</v>
      </c>
      <c r="T593" s="304">
        <f t="shared" ca="1" si="262"/>
        <v>55.446119999999816</v>
      </c>
      <c r="U593" s="311">
        <f t="shared" ca="1" si="263"/>
        <v>0</v>
      </c>
      <c r="V593" s="306">
        <f t="shared" ca="1" si="264"/>
        <v>0.8320501371014899</v>
      </c>
      <c r="W593" s="304">
        <f t="shared" ca="1" si="265"/>
        <v>0.95297629453792942</v>
      </c>
      <c r="Y593" s="314" t="str">
        <f t="shared" ca="1" si="283"/>
        <v/>
      </c>
      <c r="Z593" s="315" t="str">
        <f t="shared" ca="1" si="284"/>
        <v/>
      </c>
      <c r="AA593" s="316" t="str">
        <f t="shared" ca="1" si="285"/>
        <v/>
      </c>
      <c r="AC593" s="310" t="e">
        <f t="shared" ca="1" si="286"/>
        <v>#N/A</v>
      </c>
      <c r="AD593" s="323" t="e">
        <f t="shared" ca="1" si="287"/>
        <v>#N/A</v>
      </c>
      <c r="AE593" s="324" t="e">
        <f t="shared" ca="1" si="266"/>
        <v>#N/A</v>
      </c>
      <c r="AG593" s="306">
        <f t="shared" ca="1" si="288"/>
        <v>-3.0544299562348369</v>
      </c>
      <c r="AH593" s="304">
        <f t="shared" ca="1" si="289"/>
        <v>-0.17234363089831709</v>
      </c>
    </row>
    <row r="594" spans="1:34" x14ac:dyDescent="0.2">
      <c r="A594" s="347">
        <f t="shared" ca="1" si="267"/>
        <v>0.1</v>
      </c>
      <c r="B594" s="304">
        <f t="shared" ca="1" si="268"/>
        <v>27.000000000000043</v>
      </c>
      <c r="D594" s="306">
        <f t="shared" ca="1" si="269"/>
        <v>-0.16283144289632315</v>
      </c>
      <c r="E594" s="307">
        <f t="shared" ca="1" si="270"/>
        <v>-9.853758545159522</v>
      </c>
      <c r="F594" s="304">
        <f t="shared" ca="1" si="271"/>
        <v>9.8551038322840618</v>
      </c>
      <c r="G594" s="306">
        <f t="shared" ca="1" si="272"/>
        <v>25.385698359025707</v>
      </c>
      <c r="H594" s="307">
        <f t="shared" ca="1" si="273"/>
        <v>5.8410314718742544</v>
      </c>
      <c r="I594" s="304">
        <f t="shared" ca="1" si="274"/>
        <v>26.049017828526011</v>
      </c>
      <c r="J594" s="306">
        <f t="shared" ca="1" si="275"/>
        <v>816.72101387893269</v>
      </c>
      <c r="K594" s="307">
        <f t="shared" ca="1" si="276"/>
        <v>3821.1514605481052</v>
      </c>
      <c r="L594" s="304">
        <f t="shared" ca="1" si="261"/>
        <v>3907.4584705355919</v>
      </c>
      <c r="M594" s="306">
        <f t="shared" ca="1" si="277"/>
        <v>0.22615521643934705</v>
      </c>
      <c r="N594" s="304">
        <f t="shared" ca="1" si="278"/>
        <v>12.957739416842239</v>
      </c>
      <c r="P594" s="310">
        <f t="shared" ca="1" si="279"/>
        <v>23</v>
      </c>
      <c r="Q594" s="304">
        <f t="shared" ca="1" si="280"/>
        <v>0</v>
      </c>
      <c r="R594" s="306">
        <f t="shared" ca="1" si="281"/>
        <v>0</v>
      </c>
      <c r="S594" s="307">
        <f t="shared" ca="1" si="282"/>
        <v>5.6519999999999806</v>
      </c>
      <c r="T594" s="304">
        <f t="shared" ca="1" si="262"/>
        <v>55.446119999999816</v>
      </c>
      <c r="U594" s="311">
        <f t="shared" ca="1" si="263"/>
        <v>0</v>
      </c>
      <c r="V594" s="306">
        <f t="shared" ca="1" si="264"/>
        <v>0.83199544294289751</v>
      </c>
      <c r="W594" s="304">
        <f t="shared" ca="1" si="265"/>
        <v>0.93458265672127805</v>
      </c>
      <c r="Y594" s="314" t="str">
        <f t="shared" ca="1" si="283"/>
        <v/>
      </c>
      <c r="Z594" s="315" t="str">
        <f t="shared" ca="1" si="284"/>
        <v/>
      </c>
      <c r="AA594" s="316" t="str">
        <f t="shared" ca="1" si="285"/>
        <v/>
      </c>
      <c r="AC594" s="310">
        <f t="shared" ca="1" si="286"/>
        <v>27.000000000000043</v>
      </c>
      <c r="AD594" s="323">
        <f t="shared" ca="1" si="287"/>
        <v>816.72101387893269</v>
      </c>
      <c r="AE594" s="324" t="e">
        <f t="shared" ca="1" si="266"/>
        <v>#N/A</v>
      </c>
      <c r="AG594" s="306">
        <f t="shared" ca="1" si="288"/>
        <v>-2.7145708049529067</v>
      </c>
      <c r="AH594" s="304">
        <f t="shared" ca="1" si="289"/>
        <v>-0.16860868622397959</v>
      </c>
    </row>
    <row r="595" spans="1:34" x14ac:dyDescent="0.2">
      <c r="A595" s="347">
        <f t="shared" ca="1" si="267"/>
        <v>0.1</v>
      </c>
      <c r="B595" s="304">
        <f t="shared" ca="1" si="268"/>
        <v>27.100000000000044</v>
      </c>
      <c r="D595" s="306">
        <f t="shared" ca="1" si="269"/>
        <v>-0.1611436982974559</v>
      </c>
      <c r="E595" s="307">
        <f t="shared" ca="1" si="270"/>
        <v>-9.8470777829287091</v>
      </c>
      <c r="F595" s="304">
        <f t="shared" ca="1" si="271"/>
        <v>9.8483962224592272</v>
      </c>
      <c r="G595" s="306">
        <f t="shared" ca="1" si="272"/>
        <v>25.369583989195959</v>
      </c>
      <c r="H595" s="307">
        <f t="shared" ca="1" si="273"/>
        <v>4.8563236935813832</v>
      </c>
      <c r="I595" s="304">
        <f t="shared" ca="1" si="274"/>
        <v>25.830208508676577</v>
      </c>
      <c r="J595" s="306">
        <f t="shared" ca="1" si="275"/>
        <v>819.25877799634372</v>
      </c>
      <c r="K595" s="307">
        <f t="shared" ca="1" si="276"/>
        <v>3821.6863283063781</v>
      </c>
      <c r="L595" s="304">
        <f t="shared" ca="1" si="261"/>
        <v>3908.5126758510005</v>
      </c>
      <c r="M595" s="306">
        <f t="shared" ca="1" si="277"/>
        <v>0.18913507601791718</v>
      </c>
      <c r="N595" s="304">
        <f t="shared" ca="1" si="278"/>
        <v>10.836641613712647</v>
      </c>
      <c r="P595" s="310">
        <f t="shared" ca="1" si="279"/>
        <v>23</v>
      </c>
      <c r="Q595" s="304">
        <f t="shared" ca="1" si="280"/>
        <v>0</v>
      </c>
      <c r="R595" s="306">
        <f t="shared" ca="1" si="281"/>
        <v>0</v>
      </c>
      <c r="S595" s="307">
        <f t="shared" ca="1" si="282"/>
        <v>5.6519999999999806</v>
      </c>
      <c r="T595" s="304">
        <f t="shared" ca="1" si="262"/>
        <v>55.446119999999816</v>
      </c>
      <c r="U595" s="311">
        <f t="shared" ca="1" si="263"/>
        <v>0</v>
      </c>
      <c r="V595" s="306">
        <f t="shared" ca="1" si="264"/>
        <v>0.83194925727299229</v>
      </c>
      <c r="W595" s="304">
        <f t="shared" ca="1" si="265"/>
        <v>0.91889677257395475</v>
      </c>
      <c r="Y595" s="314" t="str">
        <f t="shared" ca="1" si="283"/>
        <v/>
      </c>
      <c r="Z595" s="315" t="str">
        <f t="shared" ca="1" si="284"/>
        <v/>
      </c>
      <c r="AA595" s="316" t="str">
        <f t="shared" ca="1" si="285"/>
        <v/>
      </c>
      <c r="AC595" s="310" t="e">
        <f t="shared" ca="1" si="286"/>
        <v>#N/A</v>
      </c>
      <c r="AD595" s="323" t="e">
        <f t="shared" ca="1" si="287"/>
        <v>#N/A</v>
      </c>
      <c r="AE595" s="324" t="e">
        <f t="shared" ca="1" si="266"/>
        <v>#N/A</v>
      </c>
      <c r="AG595" s="306">
        <f t="shared" ca="1" si="288"/>
        <v>-2.3650732998482309</v>
      </c>
      <c r="AH595" s="304">
        <f t="shared" ca="1" si="289"/>
        <v>-0.16535432709152181</v>
      </c>
    </row>
    <row r="596" spans="1:34" x14ac:dyDescent="0.2">
      <c r="A596" s="347">
        <f t="shared" ca="1" si="267"/>
        <v>0.1</v>
      </c>
      <c r="B596" s="304">
        <f t="shared" ca="1" si="268"/>
        <v>27.200000000000045</v>
      </c>
      <c r="D596" s="306">
        <f t="shared" ca="1" si="269"/>
        <v>-0.15967980984595881</v>
      </c>
      <c r="E596" s="307">
        <f t="shared" ca="1" si="270"/>
        <v>-9.8405663996804904</v>
      </c>
      <c r="F596" s="304">
        <f t="shared" ca="1" si="271"/>
        <v>9.8418618517124639</v>
      </c>
      <c r="G596" s="306">
        <f t="shared" ca="1" si="272"/>
        <v>25.353616008211365</v>
      </c>
      <c r="H596" s="307">
        <f t="shared" ca="1" si="273"/>
        <v>3.8722670536133341</v>
      </c>
      <c r="I596" s="304">
        <f t="shared" ca="1" si="274"/>
        <v>25.64761776123332</v>
      </c>
      <c r="J596" s="306">
        <f t="shared" ca="1" si="275"/>
        <v>821.79493799621412</v>
      </c>
      <c r="K596" s="307">
        <f t="shared" ca="1" si="276"/>
        <v>3822.1227578437379</v>
      </c>
      <c r="L596" s="304">
        <f t="shared" ca="1" si="261"/>
        <v>3909.471741315343</v>
      </c>
      <c r="M596" s="306">
        <f t="shared" ca="1" si="277"/>
        <v>0.15155915678063225</v>
      </c>
      <c r="N596" s="304">
        <f t="shared" ca="1" si="278"/>
        <v>8.6837000300917815</v>
      </c>
      <c r="P596" s="310">
        <f t="shared" ca="1" si="279"/>
        <v>23</v>
      </c>
      <c r="Q596" s="304">
        <f t="shared" ca="1" si="280"/>
        <v>0</v>
      </c>
      <c r="R596" s="306">
        <f t="shared" ca="1" si="281"/>
        <v>0</v>
      </c>
      <c r="S596" s="307">
        <f t="shared" ca="1" si="282"/>
        <v>5.6519999999999806</v>
      </c>
      <c r="T596" s="304">
        <f t="shared" ca="1" si="262"/>
        <v>55.446119999999816</v>
      </c>
      <c r="U596" s="311">
        <f t="shared" ca="1" si="263"/>
        <v>0</v>
      </c>
      <c r="V596" s="306">
        <f t="shared" ca="1" si="264"/>
        <v>0.83191157325037823</v>
      </c>
      <c r="W596" s="304">
        <f t="shared" ca="1" si="265"/>
        <v>0.90591050363117165</v>
      </c>
      <c r="Y596" s="314" t="str">
        <f t="shared" ca="1" si="283"/>
        <v/>
      </c>
      <c r="Z596" s="315" t="str">
        <f t="shared" ca="1" si="284"/>
        <v/>
      </c>
      <c r="AA596" s="316" t="str">
        <f t="shared" ca="1" si="285"/>
        <v/>
      </c>
      <c r="AC596" s="310" t="e">
        <f t="shared" ca="1" si="286"/>
        <v>#N/A</v>
      </c>
      <c r="AD596" s="323" t="e">
        <f t="shared" ca="1" si="287"/>
        <v>#N/A</v>
      </c>
      <c r="AE596" s="324" t="e">
        <f t="shared" ca="1" si="266"/>
        <v>#N/A</v>
      </c>
      <c r="AG596" s="306">
        <f t="shared" ca="1" si="288"/>
        <v>-2.0069519026484679</v>
      </c>
      <c r="AH596" s="304">
        <f t="shared" ca="1" si="289"/>
        <v>-0.16257904681067903</v>
      </c>
    </row>
    <row r="597" spans="1:34" x14ac:dyDescent="0.2">
      <c r="A597" s="347">
        <f t="shared" ca="1" si="267"/>
        <v>0.1</v>
      </c>
      <c r="B597" s="304">
        <f t="shared" ca="1" si="268"/>
        <v>27.300000000000047</v>
      </c>
      <c r="D597" s="306">
        <f t="shared" ca="1" si="269"/>
        <v>-0.15844408026474405</v>
      </c>
      <c r="E597" s="307">
        <f t="shared" ca="1" si="270"/>
        <v>-9.8341992223772152</v>
      </c>
      <c r="F597" s="304">
        <f t="shared" ca="1" si="271"/>
        <v>9.8354755285128732</v>
      </c>
      <c r="G597" s="306">
        <f t="shared" ca="1" si="272"/>
        <v>25.33777160018489</v>
      </c>
      <c r="H597" s="307">
        <f t="shared" ca="1" si="273"/>
        <v>2.8888471313756128</v>
      </c>
      <c r="I597" s="304">
        <f t="shared" ca="1" si="274"/>
        <v>25.50192360218329</v>
      </c>
      <c r="J597" s="306">
        <f t="shared" ca="1" si="275"/>
        <v>824.32950737663396</v>
      </c>
      <c r="K597" s="307">
        <f t="shared" ca="1" si="276"/>
        <v>3822.4608135529875</v>
      </c>
      <c r="L597" s="304">
        <f t="shared" ca="1" si="261"/>
        <v>3910.3357666420375</v>
      </c>
      <c r="M597" s="306">
        <f t="shared" ca="1" si="277"/>
        <v>0.11352325951242302</v>
      </c>
      <c r="N597" s="304">
        <f t="shared" ca="1" si="278"/>
        <v>6.5044036466302151</v>
      </c>
      <c r="P597" s="310">
        <f t="shared" ca="1" si="279"/>
        <v>23</v>
      </c>
      <c r="Q597" s="304">
        <f t="shared" ca="1" si="280"/>
        <v>0</v>
      </c>
      <c r="R597" s="306">
        <f t="shared" ca="1" si="281"/>
        <v>0</v>
      </c>
      <c r="S597" s="307">
        <f t="shared" ca="1" si="282"/>
        <v>5.6519999999999806</v>
      </c>
      <c r="T597" s="304">
        <f t="shared" ca="1" si="262"/>
        <v>55.446119999999816</v>
      </c>
      <c r="U597" s="311">
        <f t="shared" ca="1" si="263"/>
        <v>0</v>
      </c>
      <c r="V597" s="306">
        <f t="shared" ca="1" si="264"/>
        <v>0.83188238438084017</v>
      </c>
      <c r="W597" s="304">
        <f t="shared" ca="1" si="265"/>
        <v>0.8956160599148939</v>
      </c>
      <c r="Y597" s="314" t="str">
        <f t="shared" ca="1" si="283"/>
        <v/>
      </c>
      <c r="Z597" s="315" t="str">
        <f t="shared" ca="1" si="284"/>
        <v/>
      </c>
      <c r="AA597" s="316" t="str">
        <f t="shared" ca="1" si="285"/>
        <v/>
      </c>
      <c r="AC597" s="310" t="e">
        <f t="shared" ca="1" si="286"/>
        <v>#N/A</v>
      </c>
      <c r="AD597" s="323" t="e">
        <f t="shared" ca="1" si="287"/>
        <v>#N/A</v>
      </c>
      <c r="AE597" s="324" t="e">
        <f t="shared" ca="1" si="266"/>
        <v>#N/A</v>
      </c>
      <c r="AG597" s="306">
        <f t="shared" ca="1" si="288"/>
        <v>-1.6413912749791131</v>
      </c>
      <c r="AH597" s="304">
        <f t="shared" ca="1" si="289"/>
        <v>-0.16028140545491415</v>
      </c>
    </row>
    <row r="598" spans="1:34" x14ac:dyDescent="0.2">
      <c r="A598" s="347">
        <f t="shared" ca="1" si="267"/>
        <v>0.1</v>
      </c>
      <c r="B598" s="304">
        <f t="shared" ca="1" si="268"/>
        <v>27.400000000000048</v>
      </c>
      <c r="D598" s="306">
        <f t="shared" ca="1" si="269"/>
        <v>-0.15744004168597184</v>
      </c>
      <c r="E598" s="307">
        <f t="shared" ca="1" si="270"/>
        <v>-9.8279502846566373</v>
      </c>
      <c r="F598" s="304">
        <f t="shared" ca="1" si="271"/>
        <v>9.8292112686831885</v>
      </c>
      <c r="G598" s="306">
        <f t="shared" ca="1" si="272"/>
        <v>25.322027596016294</v>
      </c>
      <c r="H598" s="307">
        <f t="shared" ca="1" si="273"/>
        <v>1.9060521029099489</v>
      </c>
      <c r="I598" s="304">
        <f t="shared" ca="1" si="274"/>
        <v>25.393662914050392</v>
      </c>
      <c r="J598" s="306">
        <f t="shared" ca="1" si="275"/>
        <v>826.86249733644399</v>
      </c>
      <c r="K598" s="307">
        <f t="shared" ca="1" si="276"/>
        <v>3822.7005585147017</v>
      </c>
      <c r="L598" s="304">
        <f t="shared" ca="1" si="261"/>
        <v>3911.1048502399003</v>
      </c>
      <c r="M598" s="306">
        <f t="shared" ca="1" si="277"/>
        <v>7.5130809346409422E-2</v>
      </c>
      <c r="N598" s="304">
        <f t="shared" ca="1" si="278"/>
        <v>4.3046782869512992</v>
      </c>
      <c r="P598" s="310">
        <f t="shared" ca="1" si="279"/>
        <v>23</v>
      </c>
      <c r="Q598" s="304">
        <f t="shared" ca="1" si="280"/>
        <v>0</v>
      </c>
      <c r="R598" s="306">
        <f t="shared" ca="1" si="281"/>
        <v>0</v>
      </c>
      <c r="S598" s="307">
        <f t="shared" ca="1" si="282"/>
        <v>5.6519999999999806</v>
      </c>
      <c r="T598" s="304">
        <f t="shared" ca="1" si="262"/>
        <v>55.446119999999816</v>
      </c>
      <c r="U598" s="311">
        <f t="shared" ca="1" si="263"/>
        <v>0</v>
      </c>
      <c r="V598" s="306">
        <f t="shared" ca="1" si="264"/>
        <v>0.83186168449472619</v>
      </c>
      <c r="W598" s="304">
        <f t="shared" ca="1" si="265"/>
        <v>0.88800597034606465</v>
      </c>
      <c r="Y598" s="314" t="str">
        <f t="shared" ca="1" si="283"/>
        <v/>
      </c>
      <c r="Z598" s="315" t="str">
        <f t="shared" ca="1" si="284"/>
        <v/>
      </c>
      <c r="AA598" s="316" t="str">
        <f t="shared" ca="1" si="285"/>
        <v/>
      </c>
      <c r="AC598" s="310" t="e">
        <f t="shared" ca="1" si="286"/>
        <v>#N/A</v>
      </c>
      <c r="AD598" s="323" t="e">
        <f t="shared" ca="1" si="287"/>
        <v>#N/A</v>
      </c>
      <c r="AE598" s="324" t="e">
        <f t="shared" ca="1" si="266"/>
        <v>#N/A</v>
      </c>
      <c r="AG598" s="306">
        <f t="shared" ca="1" si="288"/>
        <v>-1.269732680138804</v>
      </c>
      <c r="AH598" s="304">
        <f t="shared" ca="1" si="289"/>
        <v>-0.15846002475493576</v>
      </c>
    </row>
    <row r="599" spans="1:34" x14ac:dyDescent="0.2">
      <c r="A599" s="347">
        <f t="shared" ca="1" si="267"/>
        <v>0.1</v>
      </c>
      <c r="B599" s="304">
        <f t="shared" ca="1" si="268"/>
        <v>27.50000000000005</v>
      </c>
      <c r="D599" s="306">
        <f t="shared" ca="1" si="269"/>
        <v>-0.15667036671516477</v>
      </c>
      <c r="E599" s="307">
        <f t="shared" ca="1" si="270"/>
        <v>-9.8217929688216632</v>
      </c>
      <c r="F599" s="304">
        <f t="shared" ca="1" si="271"/>
        <v>9.8230424373613143</v>
      </c>
      <c r="G599" s="306">
        <f t="shared" ca="1" si="272"/>
        <v>25.306360559344778</v>
      </c>
      <c r="H599" s="307">
        <f t="shared" ca="1" si="273"/>
        <v>0.92387280602778254</v>
      </c>
      <c r="I599" s="304">
        <f t="shared" ca="1" si="274"/>
        <v>25.323219102659095</v>
      </c>
      <c r="J599" s="306">
        <f t="shared" ca="1" si="275"/>
        <v>829.39391674421199</v>
      </c>
      <c r="K599" s="307">
        <f t="shared" ca="1" si="276"/>
        <v>3822.8420547601486</v>
      </c>
      <c r="L599" s="304">
        <f t="shared" ca="1" si="261"/>
        <v>3911.7790894649329</v>
      </c>
      <c r="M599" s="306">
        <f t="shared" ca="1" si="277"/>
        <v>3.6491327383195132E-2</v>
      </c>
      <c r="N599" s="304">
        <f t="shared" ca="1" si="278"/>
        <v>2.0907990478872516</v>
      </c>
      <c r="P599" s="310">
        <f t="shared" ca="1" si="279"/>
        <v>23</v>
      </c>
      <c r="Q599" s="304">
        <f t="shared" ca="1" si="280"/>
        <v>0</v>
      </c>
      <c r="R599" s="306">
        <f t="shared" ca="1" si="281"/>
        <v>0</v>
      </c>
      <c r="S599" s="307">
        <f t="shared" ca="1" si="282"/>
        <v>5.6519999999999806</v>
      </c>
      <c r="T599" s="304">
        <f t="shared" ca="1" si="262"/>
        <v>55.446119999999816</v>
      </c>
      <c r="U599" s="311">
        <f t="shared" ca="1" si="263"/>
        <v>0</v>
      </c>
      <c r="V599" s="306">
        <f t="shared" ca="1" si="264"/>
        <v>0.83184946772373414</v>
      </c>
      <c r="W599" s="304">
        <f t="shared" ca="1" si="265"/>
        <v>0.88307305256484347</v>
      </c>
      <c r="Y599" s="314" t="str">
        <f t="shared" ca="1" si="283"/>
        <v>Apogée</v>
      </c>
      <c r="Z599" s="315" t="str">
        <f t="shared" ca="1" si="284"/>
        <v/>
      </c>
      <c r="AA599" s="316" t="str">
        <f t="shared" ca="1" si="285"/>
        <v/>
      </c>
      <c r="AC599" s="310" t="e">
        <f t="shared" ca="1" si="286"/>
        <v>#N/A</v>
      </c>
      <c r="AD599" s="323" t="e">
        <f t="shared" ca="1" si="287"/>
        <v>#N/A</v>
      </c>
      <c r="AE599" s="324" t="e">
        <f t="shared" ca="1" si="266"/>
        <v>#N/A</v>
      </c>
      <c r="AG599" s="306">
        <f t="shared" ca="1" si="288"/>
        <v>-0.8934536371849966</v>
      </c>
      <c r="AH599" s="304">
        <f t="shared" ca="1" si="289"/>
        <v>-0.15711358286377702</v>
      </c>
    </row>
    <row r="600" spans="1:34" x14ac:dyDescent="0.2">
      <c r="A600" s="347">
        <f t="shared" ca="1" si="267"/>
        <v>0.1</v>
      </c>
      <c r="B600" s="304">
        <f t="shared" ca="1" si="268"/>
        <v>27.600000000000051</v>
      </c>
      <c r="D600" s="306">
        <f t="shared" ca="1" si="269"/>
        <v>-0.15613679410356482</v>
      </c>
      <c r="E600" s="307">
        <f t="shared" ca="1" si="270"/>
        <v>-9.8157001692422092</v>
      </c>
      <c r="F600" s="304">
        <f t="shared" ca="1" si="271"/>
        <v>9.8169419123744674</v>
      </c>
      <c r="G600" s="306">
        <f t="shared" ca="1" si="272"/>
        <v>25.290746879934421</v>
      </c>
      <c r="H600" s="307">
        <f t="shared" ca="1" si="273"/>
        <v>-5.7697210896438422E-2</v>
      </c>
      <c r="I600" s="304">
        <f t="shared" ca="1" si="274"/>
        <v>25.290812693803613</v>
      </c>
      <c r="J600" s="306">
        <f t="shared" ca="1" si="275"/>
        <v>831.923772116176</v>
      </c>
      <c r="K600" s="307">
        <f t="shared" ca="1" si="276"/>
        <v>3822.885363539905</v>
      </c>
      <c r="L600" s="304">
        <f t="shared" ca="1" si="261"/>
        <v>3912.3585808792682</v>
      </c>
      <c r="M600" s="306">
        <f t="shared" ca="1" si="277"/>
        <v>-2.2813525861427463E-3</v>
      </c>
      <c r="N600" s="304">
        <f t="shared" ca="1" si="278"/>
        <v>-0.13071187476723495</v>
      </c>
      <c r="P600" s="310">
        <f t="shared" ca="1" si="279"/>
        <v>23</v>
      </c>
      <c r="Q600" s="304">
        <f t="shared" ca="1" si="280"/>
        <v>0</v>
      </c>
      <c r="R600" s="306">
        <f t="shared" ca="1" si="281"/>
        <v>0</v>
      </c>
      <c r="S600" s="307">
        <f t="shared" ca="1" si="282"/>
        <v>5.6519999999999806</v>
      </c>
      <c r="T600" s="304">
        <f t="shared" ca="1" si="262"/>
        <v>55.446119999999816</v>
      </c>
      <c r="U600" s="311">
        <f t="shared" ca="1" si="263"/>
        <v>0</v>
      </c>
      <c r="V600" s="306">
        <f t="shared" ca="1" si="264"/>
        <v>0.83184572847723948</v>
      </c>
      <c r="W600" s="304">
        <f t="shared" ca="1" si="265"/>
        <v>0.88081038231697917</v>
      </c>
      <c r="Y600" s="314" t="str">
        <f t="shared" ca="1" si="283"/>
        <v/>
      </c>
      <c r="Z600" s="315" t="str">
        <f t="shared" ca="1" si="284"/>
        <v/>
      </c>
      <c r="AA600" s="316" t="str">
        <f t="shared" ca="1" si="285"/>
        <v/>
      </c>
      <c r="AC600" s="310" t="e">
        <f t="shared" ca="1" si="286"/>
        <v>#N/A</v>
      </c>
      <c r="AD600" s="323" t="e">
        <f t="shared" ca="1" si="287"/>
        <v>#N/A</v>
      </c>
      <c r="AE600" s="324" t="e">
        <f t="shared" ca="1" si="266"/>
        <v>#N/A</v>
      </c>
      <c r="AG600" s="306">
        <f t="shared" ca="1" si="288"/>
        <v>-0.51414128724586272</v>
      </c>
      <c r="AH600" s="304">
        <f t="shared" ca="1" si="289"/>
        <v>-0.15624080901713491</v>
      </c>
    </row>
    <row r="601" spans="1:34" x14ac:dyDescent="0.2">
      <c r="A601" s="347">
        <f t="shared" ca="1" si="267"/>
        <v>0.1</v>
      </c>
      <c r="B601" s="304">
        <f t="shared" ca="1" si="268"/>
        <v>27.700000000000053</v>
      </c>
      <c r="D601" s="306">
        <f t="shared" ca="1" si="269"/>
        <v>-0.15584007257581331</v>
      </c>
      <c r="E601" s="307">
        <f t="shared" ca="1" si="270"/>
        <v>-9.8096444732306161</v>
      </c>
      <c r="F601" s="304">
        <f t="shared" ca="1" si="271"/>
        <v>9.8108822650872956</v>
      </c>
      <c r="G601" s="306">
        <f t="shared" ca="1" si="272"/>
        <v>25.275162872676841</v>
      </c>
      <c r="H601" s="307">
        <f t="shared" ca="1" si="273"/>
        <v>-1.0386616582195001</v>
      </c>
      <c r="I601" s="304">
        <f t="shared" ca="1" si="274"/>
        <v>25.296495335927407</v>
      </c>
      <c r="J601" s="306">
        <f t="shared" ca="1" si="275"/>
        <v>834.45206760380654</v>
      </c>
      <c r="K601" s="307">
        <f t="shared" ca="1" si="276"/>
        <v>3822.8305455964492</v>
      </c>
      <c r="L601" s="304">
        <f t="shared" ca="1" si="261"/>
        <v>3912.843420515765</v>
      </c>
      <c r="M601" s="306">
        <f t="shared" ca="1" si="277"/>
        <v>-4.1071053905328489E-2</v>
      </c>
      <c r="N601" s="304">
        <f t="shared" ca="1" si="278"/>
        <v>-2.3531980489296198</v>
      </c>
      <c r="P601" s="310">
        <f t="shared" ca="1" si="279"/>
        <v>23</v>
      </c>
      <c r="Q601" s="304">
        <f t="shared" ca="1" si="280"/>
        <v>0</v>
      </c>
      <c r="R601" s="306">
        <f t="shared" ca="1" si="281"/>
        <v>0</v>
      </c>
      <c r="S601" s="307">
        <f t="shared" ca="1" si="282"/>
        <v>5.6519999999999806</v>
      </c>
      <c r="T601" s="304">
        <f t="shared" ca="1" si="262"/>
        <v>55.446119999999816</v>
      </c>
      <c r="U601" s="311">
        <f t="shared" ca="1" si="263"/>
        <v>0</v>
      </c>
      <c r="V601" s="306">
        <f t="shared" ca="1" si="264"/>
        <v>0.83185046141829877</v>
      </c>
      <c r="W601" s="304">
        <f t="shared" ca="1" si="265"/>
        <v>0.88121126258482263</v>
      </c>
      <c r="Y601" s="314" t="str">
        <f t="shared" ca="1" si="283"/>
        <v/>
      </c>
      <c r="Z601" s="315" t="str">
        <f t="shared" ca="1" si="284"/>
        <v/>
      </c>
      <c r="AA601" s="316" t="str">
        <f t="shared" ca="1" si="285"/>
        <v/>
      </c>
      <c r="AC601" s="310" t="e">
        <f t="shared" ca="1" si="286"/>
        <v>#N/A</v>
      </c>
      <c r="AD601" s="323" t="e">
        <f t="shared" ca="1" si="287"/>
        <v>#N/A</v>
      </c>
      <c r="AE601" s="324" t="e">
        <f t="shared" ca="1" si="266"/>
        <v>#N/A</v>
      </c>
      <c r="AG601" s="306">
        <f t="shared" ca="1" si="288"/>
        <v>-0.13346042865998564</v>
      </c>
      <c r="AH601" s="304">
        <f t="shared" ca="1" si="289"/>
        <v>-0.1558404781169466</v>
      </c>
    </row>
    <row r="602" spans="1:34" x14ac:dyDescent="0.2">
      <c r="A602" s="347">
        <f t="shared" ca="1" si="267"/>
        <v>0.1</v>
      </c>
      <c r="B602" s="304">
        <f t="shared" ca="1" si="268"/>
        <v>27.800000000000054</v>
      </c>
      <c r="D602" s="306">
        <f t="shared" ca="1" si="269"/>
        <v>-0.15577992562096049</v>
      </c>
      <c r="E602" s="307">
        <f t="shared" ca="1" si="270"/>
        <v>-9.8035983543735075</v>
      </c>
      <c r="F602" s="304">
        <f t="shared" ca="1" si="271"/>
        <v>9.8048359537067942</v>
      </c>
      <c r="G602" s="306">
        <f t="shared" ca="1" si="272"/>
        <v>25.259584880114744</v>
      </c>
      <c r="H602" s="307">
        <f t="shared" ca="1" si="273"/>
        <v>-2.0190214936568509</v>
      </c>
      <c r="I602" s="304">
        <f t="shared" ca="1" si="274"/>
        <v>25.340147515505304</v>
      </c>
      <c r="J602" s="306">
        <f t="shared" ca="1" si="275"/>
        <v>836.97880499144617</v>
      </c>
      <c r="K602" s="307">
        <f t="shared" ca="1" si="276"/>
        <v>3822.6776614388555</v>
      </c>
      <c r="L602" s="304">
        <f t="shared" ca="1" si="261"/>
        <v>3913.2337041465526</v>
      </c>
      <c r="M602" s="306">
        <f t="shared" ca="1" si="277"/>
        <v>-7.9761330292271712E-2</v>
      </c>
      <c r="N602" s="304">
        <f t="shared" ca="1" si="278"/>
        <v>-4.5699875940961343</v>
      </c>
      <c r="P602" s="310">
        <f t="shared" ca="1" si="279"/>
        <v>23</v>
      </c>
      <c r="Q602" s="304">
        <f t="shared" ca="1" si="280"/>
        <v>0</v>
      </c>
      <c r="R602" s="306">
        <f t="shared" ca="1" si="281"/>
        <v>0</v>
      </c>
      <c r="S602" s="307">
        <f t="shared" ca="1" si="282"/>
        <v>5.6519999999999806</v>
      </c>
      <c r="T602" s="304">
        <f t="shared" ca="1" si="262"/>
        <v>55.446119999999816</v>
      </c>
      <c r="U602" s="311">
        <f t="shared" ca="1" si="263"/>
        <v>0</v>
      </c>
      <c r="V602" s="306">
        <f t="shared" ca="1" si="264"/>
        <v>0.83186366143949564</v>
      </c>
      <c r="W602" s="304">
        <f t="shared" ca="1" si="265"/>
        <v>0.88426919265703263</v>
      </c>
      <c r="Y602" s="314" t="str">
        <f t="shared" ca="1" si="283"/>
        <v/>
      </c>
      <c r="Z602" s="315" t="str">
        <f t="shared" ca="1" si="284"/>
        <v/>
      </c>
      <c r="AA602" s="316" t="str">
        <f t="shared" ca="1" si="285"/>
        <v/>
      </c>
      <c r="AC602" s="310" t="e">
        <f t="shared" ca="1" si="286"/>
        <v>#N/A</v>
      </c>
      <c r="AD602" s="323" t="e">
        <f t="shared" ca="1" si="287"/>
        <v>#N/A</v>
      </c>
      <c r="AE602" s="324" t="e">
        <f t="shared" ca="1" si="266"/>
        <v>#N/A</v>
      </c>
      <c r="AG602" s="306">
        <f t="shared" ca="1" si="288"/>
        <v>0.24688237038268479</v>
      </c>
      <c r="AH602" s="304">
        <f t="shared" ca="1" si="289"/>
        <v>-0.15591140526978514</v>
      </c>
    </row>
    <row r="603" spans="1:34" x14ac:dyDescent="0.2">
      <c r="A603" s="347">
        <f t="shared" ca="1" si="267"/>
        <v>0.1</v>
      </c>
      <c r="B603" s="304">
        <f t="shared" ca="1" si="268"/>
        <v>27.900000000000055</v>
      </c>
      <c r="D603" s="306">
        <f t="shared" ca="1" si="269"/>
        <v>-0.15595503907010613</v>
      </c>
      <c r="E603" s="307">
        <f t="shared" ca="1" si="270"/>
        <v>-9.7975343724997437</v>
      </c>
      <c r="F603" s="304">
        <f t="shared" ca="1" si="271"/>
        <v>9.7987755232235685</v>
      </c>
      <c r="G603" s="306">
        <f t="shared" ca="1" si="272"/>
        <v>25.243989376207733</v>
      </c>
      <c r="H603" s="307">
        <f t="shared" ca="1" si="273"/>
        <v>-2.9987749309068255</v>
      </c>
      <c r="I603" s="304">
        <f t="shared" ca="1" si="274"/>
        <v>25.421480104673766</v>
      </c>
      <c r="J603" s="306">
        <f t="shared" ca="1" si="275"/>
        <v>839.50398370426228</v>
      </c>
      <c r="K603" s="307">
        <f t="shared" ca="1" si="276"/>
        <v>3822.4267716176273</v>
      </c>
      <c r="L603" s="304">
        <f t="shared" ca="1" si="261"/>
        <v>3913.5295275536741</v>
      </c>
      <c r="M603" s="306">
        <f t="shared" ca="1" si="277"/>
        <v>-0.11823755093612731</v>
      </c>
      <c r="N603" s="304">
        <f t="shared" ca="1" si="278"/>
        <v>-6.7745126486031912</v>
      </c>
      <c r="P603" s="310">
        <f t="shared" ca="1" si="279"/>
        <v>23</v>
      </c>
      <c r="Q603" s="304">
        <f t="shared" ca="1" si="280"/>
        <v>0</v>
      </c>
      <c r="R603" s="306">
        <f t="shared" ca="1" si="281"/>
        <v>0</v>
      </c>
      <c r="S603" s="307">
        <f t="shared" ca="1" si="282"/>
        <v>5.6519999999999806</v>
      </c>
      <c r="T603" s="304">
        <f t="shared" ca="1" si="262"/>
        <v>55.446119999999816</v>
      </c>
      <c r="U603" s="311">
        <f t="shared" ca="1" si="263"/>
        <v>0</v>
      </c>
      <c r="V603" s="306">
        <f t="shared" ca="1" si="264"/>
        <v>0.83188532363878598</v>
      </c>
      <c r="W603" s="304">
        <f t="shared" ca="1" si="265"/>
        <v>0.88997783734058888</v>
      </c>
      <c r="Y603" s="314" t="str">
        <f t="shared" ca="1" si="283"/>
        <v/>
      </c>
      <c r="Z603" s="315" t="str">
        <f t="shared" ca="1" si="284"/>
        <v/>
      </c>
      <c r="AA603" s="316" t="str">
        <f t="shared" ca="1" si="285"/>
        <v/>
      </c>
      <c r="AC603" s="310" t="e">
        <f t="shared" ca="1" si="286"/>
        <v>#N/A</v>
      </c>
      <c r="AD603" s="323" t="e">
        <f t="shared" ca="1" si="287"/>
        <v>#N/A</v>
      </c>
      <c r="AE603" s="324" t="e">
        <f t="shared" ca="1" si="266"/>
        <v>#N/A</v>
      </c>
      <c r="AG603" s="306">
        <f t="shared" ca="1" si="288"/>
        <v>0.62517682370839622</v>
      </c>
      <c r="AH603" s="304">
        <f t="shared" ca="1" si="289"/>
        <v>-0.1564524403144083</v>
      </c>
    </row>
    <row r="604" spans="1:34" x14ac:dyDescent="0.2">
      <c r="A604" s="347">
        <f t="shared" ca="1" si="267"/>
        <v>0.1</v>
      </c>
      <c r="B604" s="304">
        <f t="shared" ca="1" si="268"/>
        <v>28.000000000000057</v>
      </c>
      <c r="D604" s="306">
        <f t="shared" ca="1" si="269"/>
        <v>-0.15636307213293285</v>
      </c>
      <c r="E604" s="307">
        <f t="shared" ca="1" si="270"/>
        <v>-9.7914253740229444</v>
      </c>
      <c r="F604" s="304">
        <f t="shared" ca="1" si="271"/>
        <v>9.7926738057277909</v>
      </c>
      <c r="G604" s="306">
        <f t="shared" ca="1" si="272"/>
        <v>25.228353068994441</v>
      </c>
      <c r="H604" s="307">
        <f t="shared" ca="1" si="273"/>
        <v>-3.9779174683091201</v>
      </c>
      <c r="I604" s="304">
        <f t="shared" ca="1" si="274"/>
        <v>25.540039662430441</v>
      </c>
      <c r="J604" s="306">
        <f t="shared" ca="1" si="275"/>
        <v>842.02760082652242</v>
      </c>
      <c r="K604" s="307">
        <f t="shared" ca="1" si="276"/>
        <v>3822.0779369976667</v>
      </c>
      <c r="L604" s="304">
        <f t="shared" ca="1" si="261"/>
        <v>3913.7309867999375</v>
      </c>
      <c r="M604" s="306">
        <f t="shared" ca="1" si="277"/>
        <v>-0.15638890492293486</v>
      </c>
      <c r="N604" s="304">
        <f t="shared" ca="1" si="278"/>
        <v>-8.9604242147568698</v>
      </c>
      <c r="P604" s="310">
        <f t="shared" ca="1" si="279"/>
        <v>23</v>
      </c>
      <c r="Q604" s="304">
        <f t="shared" ca="1" si="280"/>
        <v>0</v>
      </c>
      <c r="R604" s="306">
        <f t="shared" ca="1" si="281"/>
        <v>0</v>
      </c>
      <c r="S604" s="307">
        <f t="shared" ca="1" si="282"/>
        <v>5.6519999999999806</v>
      </c>
      <c r="T604" s="304">
        <f t="shared" ca="1" si="262"/>
        <v>55.446119999999816</v>
      </c>
      <c r="U604" s="311">
        <f t="shared" ca="1" si="263"/>
        <v>0</v>
      </c>
      <c r="V604" s="306">
        <f t="shared" ca="1" si="264"/>
        <v>0.83191544329552081</v>
      </c>
      <c r="W604" s="304">
        <f t="shared" ca="1" si="265"/>
        <v>0.89833099652184034</v>
      </c>
      <c r="Y604" s="314" t="str">
        <f t="shared" ca="1" si="283"/>
        <v/>
      </c>
      <c r="Z604" s="315" t="str">
        <f t="shared" ca="1" si="284"/>
        <v/>
      </c>
      <c r="AA604" s="316" t="str">
        <f t="shared" ca="1" si="285"/>
        <v/>
      </c>
      <c r="AC604" s="310">
        <f t="shared" ca="1" si="286"/>
        <v>28.000000000000057</v>
      </c>
      <c r="AD604" s="323">
        <f t="shared" ca="1" si="287"/>
        <v>842.02760082652242</v>
      </c>
      <c r="AE604" s="324" t="e">
        <f t="shared" ca="1" si="266"/>
        <v>#N/A</v>
      </c>
      <c r="AG604" s="306">
        <f t="shared" ca="1" si="288"/>
        <v>0.99974718675162644</v>
      </c>
      <c r="AH604" s="304">
        <f t="shared" ca="1" si="289"/>
        <v>-0.15746246237448547</v>
      </c>
    </row>
    <row r="605" spans="1:34" x14ac:dyDescent="0.2">
      <c r="A605" s="347">
        <f t="shared" ca="1" si="267"/>
        <v>0.1</v>
      </c>
      <c r="B605" s="304">
        <f t="shared" ca="1" si="268"/>
        <v>28.100000000000058</v>
      </c>
      <c r="D605" s="306">
        <f t="shared" ca="1" si="269"/>
        <v>-0.15700069135066688</v>
      </c>
      <c r="E605" s="307">
        <f t="shared" ca="1" si="270"/>
        <v>-9.7852446863672622</v>
      </c>
      <c r="F605" s="304">
        <f t="shared" ca="1" si="271"/>
        <v>9.7865041148084799</v>
      </c>
      <c r="G605" s="306">
        <f t="shared" ca="1" si="272"/>
        <v>25.212652999859372</v>
      </c>
      <c r="H605" s="307">
        <f t="shared" ca="1" si="273"/>
        <v>-4.9564419369458461</v>
      </c>
      <c r="I605" s="304">
        <f t="shared" ca="1" si="274"/>
        <v>25.695217219662368</v>
      </c>
      <c r="J605" s="306">
        <f t="shared" ca="1" si="275"/>
        <v>844.54965112996513</v>
      </c>
      <c r="K605" s="307">
        <f t="shared" ca="1" si="276"/>
        <v>3821.6312190274039</v>
      </c>
      <c r="L605" s="304">
        <f t="shared" ca="1" si="261"/>
        <v>3913.8381784980106</v>
      </c>
      <c r="M605" s="306">
        <f t="shared" ca="1" si="277"/>
        <v>-0.19411023906451835</v>
      </c>
      <c r="N605" s="304">
        <f t="shared" ca="1" si="278"/>
        <v>-11.121697458672342</v>
      </c>
      <c r="P605" s="310">
        <f t="shared" ca="1" si="279"/>
        <v>23</v>
      </c>
      <c r="Q605" s="304">
        <f t="shared" ca="1" si="280"/>
        <v>0</v>
      </c>
      <c r="R605" s="306">
        <f t="shared" ca="1" si="281"/>
        <v>0</v>
      </c>
      <c r="S605" s="307">
        <f t="shared" ca="1" si="282"/>
        <v>5.6519999999999806</v>
      </c>
      <c r="T605" s="304">
        <f t="shared" ca="1" si="262"/>
        <v>55.446119999999816</v>
      </c>
      <c r="U605" s="311">
        <f t="shared" ca="1" si="263"/>
        <v>0</v>
      </c>
      <c r="V605" s="306">
        <f t="shared" ca="1" si="264"/>
        <v>0.8319540158468034</v>
      </c>
      <c r="W605" s="304">
        <f t="shared" ca="1" si="265"/>
        <v>0.90932257527964411</v>
      </c>
      <c r="Y605" s="314" t="str">
        <f t="shared" ca="1" si="283"/>
        <v/>
      </c>
      <c r="Z605" s="315" t="str">
        <f t="shared" ca="1" si="284"/>
        <v/>
      </c>
      <c r="AA605" s="316" t="str">
        <f t="shared" ca="1" si="285"/>
        <v/>
      </c>
      <c r="AC605" s="310" t="e">
        <f t="shared" ca="1" si="286"/>
        <v>#N/A</v>
      </c>
      <c r="AD605" s="323" t="e">
        <f t="shared" ca="1" si="287"/>
        <v>#N/A</v>
      </c>
      <c r="AE605" s="324" t="e">
        <f t="shared" ca="1" si="266"/>
        <v>#N/A</v>
      </c>
      <c r="AG605" s="306">
        <f t="shared" ca="1" si="288"/>
        <v>1.3689887470120412</v>
      </c>
      <c r="AH605" s="304">
        <f t="shared" ca="1" si="289"/>
        <v>-0.15894037447307915</v>
      </c>
    </row>
    <row r="606" spans="1:34" x14ac:dyDescent="0.2">
      <c r="A606" s="347">
        <f t="shared" ca="1" si="267"/>
        <v>0.1</v>
      </c>
      <c r="B606" s="304">
        <f t="shared" ca="1" si="268"/>
        <v>28.20000000000006</v>
      </c>
      <c r="D606" s="306">
        <f t="shared" ca="1" si="269"/>
        <v>-0.15786362575641594</v>
      </c>
      <c r="E606" s="307">
        <f t="shared" ca="1" si="270"/>
        <v>-9.7789663005705201</v>
      </c>
      <c r="F606" s="304">
        <f t="shared" ca="1" si="271"/>
        <v>9.7802404281301207</v>
      </c>
      <c r="G606" s="306">
        <f t="shared" ca="1" si="272"/>
        <v>25.19686663728373</v>
      </c>
      <c r="H606" s="307">
        <f t="shared" ca="1" si="273"/>
        <v>-5.9343385670028983</v>
      </c>
      <c r="I606" s="304">
        <f t="shared" ca="1" si="274"/>
        <v>25.886260111589699</v>
      </c>
      <c r="J606" s="306">
        <f t="shared" ca="1" si="275"/>
        <v>847.07012711182233</v>
      </c>
      <c r="K606" s="307">
        <f t="shared" ca="1" si="276"/>
        <v>3821.0866800022063</v>
      </c>
      <c r="L606" s="304">
        <f t="shared" ca="1" si="261"/>
        <v>3913.8512000758947</v>
      </c>
      <c r="M606" s="306">
        <f t="shared" ca="1" si="277"/>
        <v>-0.231303656529531</v>
      </c>
      <c r="N606" s="304">
        <f t="shared" ca="1" si="278"/>
        <v>-13.252723305085732</v>
      </c>
      <c r="P606" s="310">
        <f t="shared" ca="1" si="279"/>
        <v>23</v>
      </c>
      <c r="Q606" s="304">
        <f t="shared" ca="1" si="280"/>
        <v>0</v>
      </c>
      <c r="R606" s="306">
        <f t="shared" ca="1" si="281"/>
        <v>0</v>
      </c>
      <c r="S606" s="307">
        <f t="shared" ca="1" si="282"/>
        <v>5.6519999999999806</v>
      </c>
      <c r="T606" s="304">
        <f t="shared" ca="1" si="262"/>
        <v>55.446119999999816</v>
      </c>
      <c r="U606" s="311">
        <f t="shared" ca="1" si="263"/>
        <v>0</v>
      </c>
      <c r="V606" s="306">
        <f t="shared" ca="1" si="264"/>
        <v>0.83200103686434612</v>
      </c>
      <c r="W606" s="304">
        <f t="shared" ca="1" si="265"/>
        <v>0.92294655474354914</v>
      </c>
      <c r="Y606" s="314" t="str">
        <f t="shared" ca="1" si="283"/>
        <v/>
      </c>
      <c r="Z606" s="315" t="str">
        <f t="shared" ca="1" si="284"/>
        <v/>
      </c>
      <c r="AA606" s="316" t="str">
        <f t="shared" ca="1" si="285"/>
        <v/>
      </c>
      <c r="AC606" s="310" t="e">
        <f t="shared" ca="1" si="286"/>
        <v>#N/A</v>
      </c>
      <c r="AD606" s="323" t="e">
        <f t="shared" ca="1" si="287"/>
        <v>#N/A</v>
      </c>
      <c r="AE606" s="324" t="e">
        <f t="shared" ca="1" si="266"/>
        <v>#N/A</v>
      </c>
      <c r="AG606" s="306">
        <f t="shared" ca="1" si="288"/>
        <v>1.7314007301167429</v>
      </c>
      <c r="AH606" s="304">
        <f t="shared" ca="1" si="289"/>
        <v>-0.16088509824480665</v>
      </c>
    </row>
    <row r="607" spans="1:34" x14ac:dyDescent="0.2">
      <c r="A607" s="347">
        <f t="shared" ca="1" si="267"/>
        <v>0.1</v>
      </c>
      <c r="B607" s="304">
        <f t="shared" ca="1" si="268"/>
        <v>28.300000000000061</v>
      </c>
      <c r="D607" s="306">
        <f t="shared" ca="1" si="269"/>
        <v>-0.1589467405205596</v>
      </c>
      <c r="E607" s="307">
        <f t="shared" ca="1" si="270"/>
        <v>-9.7725650369171362</v>
      </c>
      <c r="F607" s="304">
        <f t="shared" ca="1" si="271"/>
        <v>9.7738575530389902</v>
      </c>
      <c r="G607" s="306">
        <f t="shared" ca="1" si="272"/>
        <v>25.180971963231674</v>
      </c>
      <c r="H607" s="307">
        <f t="shared" ca="1" si="273"/>
        <v>-6.9115950706946121</v>
      </c>
      <c r="I607" s="304">
        <f t="shared" ca="1" si="274"/>
        <v>26.112286292745598</v>
      </c>
      <c r="J607" s="306">
        <f t="shared" ca="1" si="275"/>
        <v>849.58901904184813</v>
      </c>
      <c r="K607" s="307">
        <f t="shared" ca="1" si="276"/>
        <v>3820.4443833203213</v>
      </c>
      <c r="L607" s="304">
        <f t="shared" ca="1" si="261"/>
        <v>3913.770150036954</v>
      </c>
      <c r="M607" s="306">
        <f t="shared" ca="1" si="277"/>
        <v>-0.26787982204127314</v>
      </c>
      <c r="N607" s="304">
        <f t="shared" ca="1" si="278"/>
        <v>-15.348383219680516</v>
      </c>
      <c r="P607" s="310">
        <f t="shared" ca="1" si="279"/>
        <v>23</v>
      </c>
      <c r="Q607" s="304">
        <f t="shared" ca="1" si="280"/>
        <v>0</v>
      </c>
      <c r="R607" s="306">
        <f t="shared" ca="1" si="281"/>
        <v>0</v>
      </c>
      <c r="S607" s="307">
        <f t="shared" ca="1" si="282"/>
        <v>5.6519999999999806</v>
      </c>
      <c r="T607" s="304">
        <f t="shared" ca="1" si="262"/>
        <v>55.446119999999816</v>
      </c>
      <c r="U607" s="311">
        <f t="shared" ca="1" si="263"/>
        <v>0</v>
      </c>
      <c r="V607" s="306">
        <f t="shared" ca="1" si="264"/>
        <v>0.83205650203197057</v>
      </c>
      <c r="W607" s="304">
        <f t="shared" ca="1" si="265"/>
        <v>0.93919696387404461</v>
      </c>
      <c r="Y607" s="314" t="str">
        <f t="shared" ca="1" si="283"/>
        <v/>
      </c>
      <c r="Z607" s="315" t="str">
        <f t="shared" ca="1" si="284"/>
        <v/>
      </c>
      <c r="AA607" s="316" t="str">
        <f t="shared" ca="1" si="285"/>
        <v/>
      </c>
      <c r="AC607" s="310" t="e">
        <f t="shared" ca="1" si="286"/>
        <v>#N/A</v>
      </c>
      <c r="AD607" s="323" t="e">
        <f t="shared" ca="1" si="287"/>
        <v>#N/A</v>
      </c>
      <c r="AE607" s="324" t="e">
        <f t="shared" ca="1" si="266"/>
        <v>#N/A</v>
      </c>
      <c r="AG607" s="306">
        <f t="shared" ca="1" si="288"/>
        <v>2.0856141266085153</v>
      </c>
      <c r="AH607" s="304">
        <f t="shared" ca="1" si="289"/>
        <v>-0.16329556877982171</v>
      </c>
    </row>
    <row r="608" spans="1:34" x14ac:dyDescent="0.2">
      <c r="A608" s="347">
        <f t="shared" ca="1" si="267"/>
        <v>0.1</v>
      </c>
      <c r="B608" s="304">
        <f t="shared" ca="1" si="268"/>
        <v>28.400000000000063</v>
      </c>
      <c r="D608" s="306">
        <f t="shared" ca="1" si="269"/>
        <v>-0.16024412558270756</v>
      </c>
      <c r="E608" s="307">
        <f t="shared" ca="1" si="270"/>
        <v>-9.7660166895025977</v>
      </c>
      <c r="F608" s="304">
        <f t="shared" ca="1" si="271"/>
        <v>9.7673312711009785</v>
      </c>
      <c r="G608" s="306">
        <f t="shared" ca="1" si="272"/>
        <v>25.164947550673403</v>
      </c>
      <c r="H608" s="307">
        <f t="shared" ca="1" si="273"/>
        <v>-7.8881967396448722</v>
      </c>
      <c r="I608" s="304">
        <f t="shared" ca="1" si="274"/>
        <v>26.372300488040235</v>
      </c>
      <c r="J608" s="306">
        <f t="shared" ca="1" si="275"/>
        <v>852.10631501754335</v>
      </c>
      <c r="K608" s="307">
        <f t="shared" ca="1" si="276"/>
        <v>3819.7043937298045</v>
      </c>
      <c r="L608" s="304">
        <f t="shared" ca="1" si="261"/>
        <v>3913.5951282128749</v>
      </c>
      <c r="M608" s="306">
        <f t="shared" ca="1" si="277"/>
        <v>-0.30375894061581821</v>
      </c>
      <c r="N608" s="304">
        <f t="shared" ca="1" si="278"/>
        <v>-17.404105286651387</v>
      </c>
      <c r="P608" s="310">
        <f t="shared" ca="1" si="279"/>
        <v>23</v>
      </c>
      <c r="Q608" s="304">
        <f t="shared" ca="1" si="280"/>
        <v>0</v>
      </c>
      <c r="R608" s="306">
        <f t="shared" ca="1" si="281"/>
        <v>0</v>
      </c>
      <c r="S608" s="307">
        <f t="shared" ca="1" si="282"/>
        <v>5.6519999999999806</v>
      </c>
      <c r="T608" s="304">
        <f t="shared" ca="1" si="262"/>
        <v>55.446119999999816</v>
      </c>
      <c r="U608" s="311">
        <f t="shared" ca="1" si="263"/>
        <v>0</v>
      </c>
      <c r="V608" s="306">
        <f t="shared" ca="1" si="264"/>
        <v>0.83212040712388302</v>
      </c>
      <c r="W608" s="304">
        <f t="shared" ca="1" si="265"/>
        <v>0.9580678523211591</v>
      </c>
      <c r="Y608" s="314" t="str">
        <f t="shared" ca="1" si="283"/>
        <v/>
      </c>
      <c r="Z608" s="315" t="str">
        <f t="shared" ca="1" si="284"/>
        <v/>
      </c>
      <c r="AA608" s="316" t="str">
        <f t="shared" ca="1" si="285"/>
        <v/>
      </c>
      <c r="AC608" s="310" t="e">
        <f t="shared" ca="1" si="286"/>
        <v>#N/A</v>
      </c>
      <c r="AD608" s="323" t="e">
        <f t="shared" ca="1" si="287"/>
        <v>#N/A</v>
      </c>
      <c r="AE608" s="324" t="e">
        <f t="shared" ca="1" si="266"/>
        <v>#N/A</v>
      </c>
      <c r="AG608" s="306">
        <f t="shared" ca="1" si="288"/>
        <v>2.4304133796031464</v>
      </c>
      <c r="AH608" s="304">
        <f t="shared" ca="1" si="289"/>
        <v>-0.16617072963093557</v>
      </c>
    </row>
    <row r="609" spans="1:34" x14ac:dyDescent="0.2">
      <c r="A609" s="347">
        <f t="shared" ca="1" si="267"/>
        <v>0.1</v>
      </c>
      <c r="B609" s="304">
        <f t="shared" ca="1" si="268"/>
        <v>28.500000000000064</v>
      </c>
      <c r="D609" s="306">
        <f t="shared" ca="1" si="269"/>
        <v>-0.16174919528480328</v>
      </c>
      <c r="E609" s="307">
        <f t="shared" ca="1" si="270"/>
        <v>-9.7592981468641451</v>
      </c>
      <c r="F609" s="304">
        <f t="shared" ca="1" si="271"/>
        <v>9.7606384587055182</v>
      </c>
      <c r="G609" s="306">
        <f t="shared" ca="1" si="272"/>
        <v>25.148772631144922</v>
      </c>
      <c r="H609" s="307">
        <f t="shared" ca="1" si="273"/>
        <v>-8.8641265543312873</v>
      </c>
      <c r="I609" s="304">
        <f t="shared" ca="1" si="274"/>
        <v>26.665211501584324</v>
      </c>
      <c r="J609" s="306">
        <f t="shared" ca="1" si="275"/>
        <v>854.62200102663428</v>
      </c>
      <c r="K609" s="307">
        <f t="shared" ca="1" si="276"/>
        <v>3818.8667775651056</v>
      </c>
      <c r="L609" s="304">
        <f t="shared" ca="1" si="261"/>
        <v>3913.3262360080921</v>
      </c>
      <c r="M609" s="306">
        <f t="shared" ca="1" si="277"/>
        <v>-0.33887139852131115</v>
      </c>
      <c r="N609" s="304">
        <f t="shared" ca="1" si="278"/>
        <v>-19.415900932966895</v>
      </c>
      <c r="P609" s="310">
        <f t="shared" ca="1" si="279"/>
        <v>23</v>
      </c>
      <c r="Q609" s="304">
        <f t="shared" ca="1" si="280"/>
        <v>0</v>
      </c>
      <c r="R609" s="306">
        <f t="shared" ca="1" si="281"/>
        <v>0</v>
      </c>
      <c r="S609" s="307">
        <f t="shared" ca="1" si="282"/>
        <v>5.6519999999999806</v>
      </c>
      <c r="T609" s="304">
        <f t="shared" ca="1" si="262"/>
        <v>55.446119999999816</v>
      </c>
      <c r="U609" s="311">
        <f t="shared" ca="1" si="263"/>
        <v>0</v>
      </c>
      <c r="V609" s="306">
        <f t="shared" ca="1" si="264"/>
        <v>0.8321927479838338</v>
      </c>
      <c r="W609" s="304">
        <f t="shared" ca="1" si="265"/>
        <v>0.97955326449343338</v>
      </c>
      <c r="Y609" s="314" t="str">
        <f t="shared" ca="1" si="283"/>
        <v/>
      </c>
      <c r="Z609" s="315" t="str">
        <f t="shared" ca="1" si="284"/>
        <v/>
      </c>
      <c r="AA609" s="316" t="str">
        <f t="shared" ca="1" si="285"/>
        <v/>
      </c>
      <c r="AC609" s="310" t="e">
        <f t="shared" ca="1" si="286"/>
        <v>#N/A</v>
      </c>
      <c r="AD609" s="323" t="e">
        <f t="shared" ca="1" si="287"/>
        <v>#N/A</v>
      </c>
      <c r="AE609" s="324" t="e">
        <f t="shared" ca="1" si="266"/>
        <v>#N/A</v>
      </c>
      <c r="AG609" s="306">
        <f t="shared" ca="1" si="288"/>
        <v>2.7647513663313541</v>
      </c>
      <c r="AH609" s="304">
        <f t="shared" ca="1" si="289"/>
        <v>-0.16950952801152908</v>
      </c>
    </row>
    <row r="610" spans="1:34" x14ac:dyDescent="0.2">
      <c r="A610" s="347">
        <f t="shared" ca="1" si="267"/>
        <v>0.1</v>
      </c>
      <c r="B610" s="304">
        <f t="shared" ca="1" si="268"/>
        <v>28.600000000000065</v>
      </c>
      <c r="D610" s="306">
        <f t="shared" ca="1" si="269"/>
        <v>-0.16345479483817721</v>
      </c>
      <c r="E610" s="307">
        <f t="shared" ca="1" si="270"/>
        <v>-9.7523874871108625</v>
      </c>
      <c r="F610" s="304">
        <f t="shared" ca="1" si="271"/>
        <v>9.7537571821689362</v>
      </c>
      <c r="G610" s="306">
        <f t="shared" ca="1" si="272"/>
        <v>25.132427151661105</v>
      </c>
      <c r="H610" s="307">
        <f t="shared" ca="1" si="273"/>
        <v>-9.8393653030423742</v>
      </c>
      <c r="I610" s="304">
        <f t="shared" ca="1" si="274"/>
        <v>26.989850019966145</v>
      </c>
      <c r="J610" s="306">
        <f t="shared" ca="1" si="275"/>
        <v>857.13606101577454</v>
      </c>
      <c r="K610" s="307">
        <f t="shared" ca="1" si="276"/>
        <v>3817.9316029722368</v>
      </c>
      <c r="L610" s="304">
        <f t="shared" ca="1" si="261"/>
        <v>3912.9635766344404</v>
      </c>
      <c r="M610" s="306">
        <f t="shared" ca="1" si="277"/>
        <v>-0.37315807521261707</v>
      </c>
      <c r="N610" s="304">
        <f t="shared" ca="1" si="278"/>
        <v>-21.380382800908297</v>
      </c>
      <c r="P610" s="310">
        <f t="shared" ca="1" si="279"/>
        <v>23</v>
      </c>
      <c r="Q610" s="304">
        <f t="shared" ca="1" si="280"/>
        <v>0</v>
      </c>
      <c r="R610" s="306">
        <f t="shared" ca="1" si="281"/>
        <v>0</v>
      </c>
      <c r="S610" s="307">
        <f t="shared" ca="1" si="282"/>
        <v>5.6519999999999806</v>
      </c>
      <c r="T610" s="304">
        <f t="shared" ca="1" si="262"/>
        <v>55.446119999999816</v>
      </c>
      <c r="U610" s="311">
        <f t="shared" ca="1" si="263"/>
        <v>0</v>
      </c>
      <c r="V610" s="306">
        <f t="shared" ca="1" si="264"/>
        <v>0.8322735205052525</v>
      </c>
      <c r="W610" s="304">
        <f t="shared" ca="1" si="265"/>
        <v>1.0036472149428264</v>
      </c>
      <c r="Y610" s="314" t="str">
        <f t="shared" ca="1" si="283"/>
        <v/>
      </c>
      <c r="Z610" s="315" t="str">
        <f t="shared" ca="1" si="284"/>
        <v/>
      </c>
      <c r="AA610" s="316" t="str">
        <f t="shared" ca="1" si="285"/>
        <v/>
      </c>
      <c r="AC610" s="310" t="e">
        <f t="shared" ca="1" si="286"/>
        <v>#N/A</v>
      </c>
      <c r="AD610" s="323" t="e">
        <f t="shared" ca="1" si="287"/>
        <v>#N/A</v>
      </c>
      <c r="AE610" s="324" t="e">
        <f t="shared" ca="1" si="266"/>
        <v>#N/A</v>
      </c>
      <c r="AG610" s="306">
        <f t="shared" ca="1" si="288"/>
        <v>3.0877575982054295</v>
      </c>
      <c r="AH610" s="304">
        <f t="shared" ca="1" si="289"/>
        <v>-0.17331091020761444</v>
      </c>
    </row>
    <row r="611" spans="1:34" x14ac:dyDescent="0.2">
      <c r="A611" s="347">
        <f t="shared" ca="1" si="267"/>
        <v>0.1</v>
      </c>
      <c r="B611" s="304">
        <f t="shared" ca="1" si="268"/>
        <v>28.700000000000067</v>
      </c>
      <c r="D611" s="306">
        <f t="shared" ca="1" si="269"/>
        <v>-0.16535330956233543</v>
      </c>
      <c r="E611" s="307">
        <f t="shared" ca="1" si="270"/>
        <v>-9.745264047239333</v>
      </c>
      <c r="F611" s="304">
        <f t="shared" ca="1" si="271"/>
        <v>9.7466667670234202</v>
      </c>
      <c r="G611" s="306">
        <f t="shared" ca="1" si="272"/>
        <v>25.115891820704871</v>
      </c>
      <c r="H611" s="307">
        <f t="shared" ca="1" si="273"/>
        <v>-10.813891707766308</v>
      </c>
      <c r="I611" s="304">
        <f t="shared" ca="1" si="274"/>
        <v>27.344986301270051</v>
      </c>
      <c r="J611" s="306">
        <f t="shared" ca="1" si="275"/>
        <v>859.6484769643929</v>
      </c>
      <c r="K611" s="307">
        <f t="shared" ca="1" si="276"/>
        <v>3816.8989401216963</v>
      </c>
      <c r="L611" s="304">
        <f t="shared" ca="1" si="261"/>
        <v>3912.5072553350401</v>
      </c>
      <c r="M611" s="306">
        <f t="shared" ca="1" si="277"/>
        <v>-0.40657035178859247</v>
      </c>
      <c r="N611" s="304">
        <f t="shared" ca="1" si="278"/>
        <v>-23.294765232635509</v>
      </c>
      <c r="P611" s="310">
        <f t="shared" ca="1" si="279"/>
        <v>23</v>
      </c>
      <c r="Q611" s="304">
        <f t="shared" ca="1" si="280"/>
        <v>0</v>
      </c>
      <c r="R611" s="306">
        <f t="shared" ca="1" si="281"/>
        <v>0</v>
      </c>
      <c r="S611" s="307">
        <f t="shared" ca="1" si="282"/>
        <v>5.6519999999999806</v>
      </c>
      <c r="T611" s="304">
        <f t="shared" ca="1" si="262"/>
        <v>55.446119999999816</v>
      </c>
      <c r="U611" s="311">
        <f t="shared" ca="1" si="263"/>
        <v>0</v>
      </c>
      <c r="V611" s="306">
        <f t="shared" ca="1" si="264"/>
        <v>0.83236272061242689</v>
      </c>
      <c r="W611" s="304">
        <f t="shared" ca="1" si="265"/>
        <v>1.0303436651438596</v>
      </c>
      <c r="Y611" s="314" t="str">
        <f t="shared" ca="1" si="283"/>
        <v/>
      </c>
      <c r="Z611" s="315" t="str">
        <f t="shared" ca="1" si="284"/>
        <v/>
      </c>
      <c r="AA611" s="316" t="str">
        <f t="shared" ca="1" si="285"/>
        <v/>
      </c>
      <c r="AC611" s="310" t="e">
        <f t="shared" ca="1" si="286"/>
        <v>#N/A</v>
      </c>
      <c r="AD611" s="323" t="e">
        <f t="shared" ca="1" si="287"/>
        <v>#N/A</v>
      </c>
      <c r="AE611" s="324" t="e">
        <f t="shared" ca="1" si="266"/>
        <v>#N/A</v>
      </c>
      <c r="AG611" s="306">
        <f t="shared" ca="1" si="288"/>
        <v>3.3987400026555092</v>
      </c>
      <c r="AH611" s="304">
        <f t="shared" ca="1" si="289"/>
        <v>-0.17757381722272289</v>
      </c>
    </row>
    <row r="612" spans="1:34" x14ac:dyDescent="0.2">
      <c r="A612" s="347">
        <f t="shared" ca="1" si="267"/>
        <v>0.1</v>
      </c>
      <c r="B612" s="304">
        <f t="shared" ca="1" si="268"/>
        <v>28.800000000000068</v>
      </c>
      <c r="D612" s="306">
        <f t="shared" ca="1" si="269"/>
        <v>-0.16743677317919628</v>
      </c>
      <c r="E612" s="307">
        <f t="shared" ca="1" si="270"/>
        <v>-9.737908467436343</v>
      </c>
      <c r="F612" s="304">
        <f t="shared" ca="1" si="271"/>
        <v>9.7393478422931938</v>
      </c>
      <c r="G612" s="306">
        <f t="shared" ca="1" si="272"/>
        <v>25.099148143386952</v>
      </c>
      <c r="H612" s="307">
        <f t="shared" ca="1" si="273"/>
        <v>-11.787682554509942</v>
      </c>
      <c r="I612" s="304">
        <f t="shared" ca="1" si="274"/>
        <v>27.729347225089569</v>
      </c>
      <c r="J612" s="306">
        <f t="shared" ca="1" si="275"/>
        <v>862.15922896259747</v>
      </c>
      <c r="K612" s="307">
        <f t="shared" ca="1" si="276"/>
        <v>3815.7688614085823</v>
      </c>
      <c r="L612" s="304">
        <f t="shared" ca="1" si="261"/>
        <v>3911.9573795966553</v>
      </c>
      <c r="M612" s="306">
        <f t="shared" ca="1" si="277"/>
        <v>-0.43906985402092358</v>
      </c>
      <c r="N612" s="304">
        <f t="shared" ca="1" si="278"/>
        <v>-25.15684954682408</v>
      </c>
      <c r="P612" s="310">
        <f t="shared" ca="1" si="279"/>
        <v>23</v>
      </c>
      <c r="Q612" s="304">
        <f t="shared" ca="1" si="280"/>
        <v>0</v>
      </c>
      <c r="R612" s="306">
        <f t="shared" ca="1" si="281"/>
        <v>0</v>
      </c>
      <c r="S612" s="307">
        <f t="shared" ca="1" si="282"/>
        <v>5.6519999999999806</v>
      </c>
      <c r="T612" s="304">
        <f t="shared" ca="1" si="262"/>
        <v>55.446119999999816</v>
      </c>
      <c r="U612" s="311">
        <f t="shared" ca="1" si="263"/>
        <v>0</v>
      </c>
      <c r="V612" s="306">
        <f t="shared" ca="1" si="264"/>
        <v>0.83246034424277238</v>
      </c>
      <c r="W612" s="304">
        <f t="shared" ca="1" si="265"/>
        <v>1.0596365017184752</v>
      </c>
      <c r="Y612" s="314" t="str">
        <f t="shared" ca="1" si="283"/>
        <v/>
      </c>
      <c r="Z612" s="315" t="str">
        <f t="shared" ca="1" si="284"/>
        <v/>
      </c>
      <c r="AA612" s="316" t="str">
        <f t="shared" ca="1" si="285"/>
        <v/>
      </c>
      <c r="AC612" s="310" t="e">
        <f t="shared" ca="1" si="286"/>
        <v>#N/A</v>
      </c>
      <c r="AD612" s="323" t="e">
        <f t="shared" ca="1" si="287"/>
        <v>#N/A</v>
      </c>
      <c r="AE612" s="324" t="e">
        <f t="shared" ca="1" si="266"/>
        <v>#N/A</v>
      </c>
      <c r="AG612" s="306">
        <f t="shared" ca="1" si="288"/>
        <v>3.6971809980510026</v>
      </c>
      <c r="AH612" s="304">
        <f t="shared" ca="1" si="289"/>
        <v>-0.18229718066947331</v>
      </c>
    </row>
    <row r="613" spans="1:34" x14ac:dyDescent="0.2">
      <c r="A613" s="347">
        <f t="shared" ca="1" si="267"/>
        <v>0.1</v>
      </c>
      <c r="B613" s="304">
        <f t="shared" ca="1" si="268"/>
        <v>28.90000000000007</v>
      </c>
      <c r="D613" s="306">
        <f t="shared" ca="1" si="269"/>
        <v>-0.16969697197013472</v>
      </c>
      <c r="E613" s="307">
        <f t="shared" ca="1" si="270"/>
        <v>-9.7303027120833754</v>
      </c>
      <c r="F613" s="304">
        <f t="shared" ca="1" si="271"/>
        <v>9.7317823614727903</v>
      </c>
      <c r="G613" s="306">
        <f t="shared" ca="1" si="272"/>
        <v>25.082178446189939</v>
      </c>
      <c r="H613" s="307">
        <f t="shared" ca="1" si="273"/>
        <v>-12.760712825718279</v>
      </c>
      <c r="I613" s="304">
        <f t="shared" ca="1" si="274"/>
        <v>28.141632280785814</v>
      </c>
      <c r="J613" s="306">
        <f t="shared" ca="1" si="275"/>
        <v>864.66829529207632</v>
      </c>
      <c r="K613" s="307">
        <f t="shared" ca="1" si="276"/>
        <v>3814.5414416395711</v>
      </c>
      <c r="L613" s="304">
        <f t="shared" ca="1" si="261"/>
        <v>3911.3140593500034</v>
      </c>
      <c r="M613" s="306">
        <f t="shared" ca="1" si="277"/>
        <v>-0.47062797585630883</v>
      </c>
      <c r="N613" s="304">
        <f t="shared" ca="1" si="278"/>
        <v>-26.964996737351303</v>
      </c>
      <c r="P613" s="310">
        <f t="shared" ca="1" si="279"/>
        <v>23</v>
      </c>
      <c r="Q613" s="304">
        <f t="shared" ca="1" si="280"/>
        <v>0</v>
      </c>
      <c r="R613" s="306">
        <f t="shared" ca="1" si="281"/>
        <v>0</v>
      </c>
      <c r="S613" s="307">
        <f t="shared" ca="1" si="282"/>
        <v>5.6519999999999806</v>
      </c>
      <c r="T613" s="304">
        <f t="shared" ca="1" si="262"/>
        <v>55.446119999999816</v>
      </c>
      <c r="U613" s="311">
        <f t="shared" ca="1" si="263"/>
        <v>0</v>
      </c>
      <c r="V613" s="306">
        <f t="shared" ca="1" si="264"/>
        <v>0.83256638733021404</v>
      </c>
      <c r="W613" s="304">
        <f t="shared" ca="1" si="265"/>
        <v>1.0915195161327369</v>
      </c>
      <c r="Y613" s="314" t="str">
        <f t="shared" ca="1" si="283"/>
        <v/>
      </c>
      <c r="Z613" s="315" t="str">
        <f t="shared" ca="1" si="284"/>
        <v/>
      </c>
      <c r="AA613" s="316" t="str">
        <f t="shared" ca="1" si="285"/>
        <v/>
      </c>
      <c r="AC613" s="310" t="e">
        <f t="shared" ca="1" si="286"/>
        <v>#N/A</v>
      </c>
      <c r="AD613" s="323" t="e">
        <f t="shared" ca="1" si="287"/>
        <v>#N/A</v>
      </c>
      <c r="AE613" s="324" t="e">
        <f t="shared" ca="1" si="266"/>
        <v>#N/A</v>
      </c>
      <c r="AG613" s="306">
        <f t="shared" ca="1" si="288"/>
        <v>3.9827288105231138</v>
      </c>
      <c r="AH613" s="304">
        <f t="shared" ca="1" si="289"/>
        <v>-0.18747991891692833</v>
      </c>
    </row>
    <row r="614" spans="1:34" x14ac:dyDescent="0.2">
      <c r="A614" s="347">
        <f t="shared" ca="1" si="267"/>
        <v>0.1</v>
      </c>
      <c r="B614" s="304">
        <f t="shared" ca="1" si="268"/>
        <v>29.000000000000071</v>
      </c>
      <c r="D614" s="306">
        <f t="shared" ca="1" si="269"/>
        <v>-0.17212554223473178</v>
      </c>
      <c r="E614" s="307">
        <f t="shared" ca="1" si="270"/>
        <v>-9.7224300698545552</v>
      </c>
      <c r="F614" s="304">
        <f t="shared" ca="1" si="271"/>
        <v>9.7239536025991846</v>
      </c>
      <c r="G614" s="306">
        <f t="shared" ca="1" si="272"/>
        <v>25.064965891966466</v>
      </c>
      <c r="H614" s="307">
        <f t="shared" ca="1" si="273"/>
        <v>-13.732955832703734</v>
      </c>
      <c r="I614" s="304">
        <f t="shared" ca="1" si="274"/>
        <v>28.58052818036143</v>
      </c>
      <c r="J614" s="306">
        <f t="shared" ca="1" si="275"/>
        <v>867.17565250898417</v>
      </c>
      <c r="K614" s="307">
        <f t="shared" ca="1" si="276"/>
        <v>3813.21675820665</v>
      </c>
      <c r="L614" s="304">
        <f t="shared" ca="1" si="261"/>
        <v>3910.5774071577225</v>
      </c>
      <c r="M614" s="306">
        <f t="shared" ca="1" si="277"/>
        <v>-0.50122523270668473</v>
      </c>
      <c r="N614" s="304">
        <f t="shared" ca="1" si="278"/>
        <v>-28.718090419555587</v>
      </c>
      <c r="P614" s="310">
        <f t="shared" ca="1" si="279"/>
        <v>23</v>
      </c>
      <c r="Q614" s="304">
        <f t="shared" ca="1" si="280"/>
        <v>0</v>
      </c>
      <c r="R614" s="306">
        <f t="shared" ca="1" si="281"/>
        <v>0</v>
      </c>
      <c r="S614" s="307">
        <f t="shared" ca="1" si="282"/>
        <v>5.6519999999999806</v>
      </c>
      <c r="T614" s="304">
        <f t="shared" ca="1" si="262"/>
        <v>55.446119999999816</v>
      </c>
      <c r="U614" s="311">
        <f t="shared" ca="1" si="263"/>
        <v>0</v>
      </c>
      <c r="V614" s="306">
        <f t="shared" ca="1" si="264"/>
        <v>0.83268084578969515</v>
      </c>
      <c r="W614" s="304">
        <f t="shared" ca="1" si="265"/>
        <v>1.1259863858685071</v>
      </c>
      <c r="Y614" s="314" t="str">
        <f t="shared" ca="1" si="283"/>
        <v/>
      </c>
      <c r="Z614" s="315" t="str">
        <f t="shared" ca="1" si="284"/>
        <v/>
      </c>
      <c r="AA614" s="316" t="str">
        <f t="shared" ca="1" si="285"/>
        <v/>
      </c>
      <c r="AC614" s="310">
        <f t="shared" ca="1" si="286"/>
        <v>29.000000000000071</v>
      </c>
      <c r="AD614" s="323">
        <f t="shared" ca="1" si="287"/>
        <v>867.17565250898417</v>
      </c>
      <c r="AE614" s="324" t="e">
        <f t="shared" ca="1" si="266"/>
        <v>#N/A</v>
      </c>
      <c r="AG614" s="306">
        <f t="shared" ca="1" si="288"/>
        <v>4.2551851054433429</v>
      </c>
      <c r="AH614" s="304">
        <f t="shared" ca="1" si="289"/>
        <v>-0.19312093349836176</v>
      </c>
    </row>
    <row r="615" spans="1:34" x14ac:dyDescent="0.2">
      <c r="A615" s="347">
        <f t="shared" ca="1" si="267"/>
        <v>0.1</v>
      </c>
      <c r="B615" s="304">
        <f t="shared" ca="1" si="268"/>
        <v>29.100000000000072</v>
      </c>
      <c r="D615" s="306">
        <f t="shared" ca="1" si="269"/>
        <v>-0.17471405916265312</v>
      </c>
      <c r="E615" s="307">
        <f t="shared" ca="1" si="270"/>
        <v>-9.714275135734292</v>
      </c>
      <c r="F615" s="304">
        <f t="shared" ca="1" si="271"/>
        <v>9.7158461502441771</v>
      </c>
      <c r="G615" s="306">
        <f t="shared" ca="1" si="272"/>
        <v>25.047494486050201</v>
      </c>
      <c r="H615" s="307">
        <f t="shared" ca="1" si="273"/>
        <v>-14.704383346277163</v>
      </c>
      <c r="I615" s="304">
        <f t="shared" ca="1" si="274"/>
        <v>29.044721889234683</v>
      </c>
      <c r="J615" s="306">
        <f t="shared" ca="1" si="275"/>
        <v>869.68127552788496</v>
      </c>
      <c r="K615" s="307">
        <f t="shared" ca="1" si="276"/>
        <v>3811.7948912477009</v>
      </c>
      <c r="L615" s="304">
        <f t="shared" ca="1" si="261"/>
        <v>3909.7475383898995</v>
      </c>
      <c r="M615" s="306">
        <f t="shared" ca="1" si="277"/>
        <v>-0.53085049343755919</v>
      </c>
      <c r="N615" s="304">
        <f t="shared" ca="1" si="278"/>
        <v>-30.415492826409345</v>
      </c>
      <c r="P615" s="310">
        <f t="shared" ca="1" si="279"/>
        <v>23</v>
      </c>
      <c r="Q615" s="304">
        <f t="shared" ca="1" si="280"/>
        <v>0</v>
      </c>
      <c r="R615" s="306">
        <f t="shared" ca="1" si="281"/>
        <v>0</v>
      </c>
      <c r="S615" s="307">
        <f t="shared" ca="1" si="282"/>
        <v>5.6519999999999806</v>
      </c>
      <c r="T615" s="304">
        <f t="shared" ca="1" si="262"/>
        <v>55.446119999999816</v>
      </c>
      <c r="U615" s="311">
        <f t="shared" ca="1" si="263"/>
        <v>0</v>
      </c>
      <c r="V615" s="306">
        <f t="shared" ca="1" si="264"/>
        <v>0.83280371550279542</v>
      </c>
      <c r="W615" s="304">
        <f t="shared" ca="1" si="265"/>
        <v>1.1630306570530622</v>
      </c>
      <c r="Y615" s="314" t="str">
        <f t="shared" ca="1" si="283"/>
        <v/>
      </c>
      <c r="Z615" s="315" t="str">
        <f t="shared" ca="1" si="284"/>
        <v/>
      </c>
      <c r="AA615" s="316" t="str">
        <f t="shared" ca="1" si="285"/>
        <v/>
      </c>
      <c r="AC615" s="310" t="e">
        <f t="shared" ca="1" si="286"/>
        <v>#N/A</v>
      </c>
      <c r="AD615" s="323" t="e">
        <f t="shared" ca="1" si="287"/>
        <v>#N/A</v>
      </c>
      <c r="AE615" s="324" t="e">
        <f t="shared" ca="1" si="266"/>
        <v>#N/A</v>
      </c>
      <c r="AG615" s="306">
        <f t="shared" ca="1" si="288"/>
        <v>4.5144900275380611</v>
      </c>
      <c r="AH615" s="304">
        <f t="shared" ca="1" si="289"/>
        <v>-0.19921910577999133</v>
      </c>
    </row>
    <row r="616" spans="1:34" x14ac:dyDescent="0.2">
      <c r="A616" s="347">
        <f t="shared" ca="1" si="267"/>
        <v>0.1</v>
      </c>
      <c r="B616" s="304">
        <f t="shared" ca="1" si="268"/>
        <v>29.200000000000074</v>
      </c>
      <c r="D616" s="306">
        <f t="shared" ca="1" si="269"/>
        <v>-0.17745411588664423</v>
      </c>
      <c r="E616" s="307">
        <f t="shared" ca="1" si="270"/>
        <v>-9.7058237779900445</v>
      </c>
      <c r="F616" s="304">
        <f t="shared" ca="1" si="271"/>
        <v>9.7074458624625901</v>
      </c>
      <c r="G616" s="306">
        <f t="shared" ca="1" si="272"/>
        <v>25.029749074461538</v>
      </c>
      <c r="H616" s="307">
        <f t="shared" ca="1" si="273"/>
        <v>-15.674965724076168</v>
      </c>
      <c r="I616" s="304">
        <f t="shared" ca="1" si="274"/>
        <v>29.532911965830102</v>
      </c>
      <c r="J616" s="306">
        <f t="shared" ca="1" si="275"/>
        <v>872.18513770591051</v>
      </c>
      <c r="K616" s="307">
        <f t="shared" ca="1" si="276"/>
        <v>3810.2759237941832</v>
      </c>
      <c r="L616" s="304">
        <f t="shared" ca="1" si="261"/>
        <v>3908.8245713872466</v>
      </c>
      <c r="M616" s="306">
        <f t="shared" ca="1" si="277"/>
        <v>-0.55950013660267661</v>
      </c>
      <c r="N616" s="304">
        <f t="shared" ca="1" si="278"/>
        <v>-32.056996464326403</v>
      </c>
      <c r="P616" s="310">
        <f t="shared" ca="1" si="279"/>
        <v>23</v>
      </c>
      <c r="Q616" s="304">
        <f t="shared" ca="1" si="280"/>
        <v>0</v>
      </c>
      <c r="R616" s="306">
        <f t="shared" ca="1" si="281"/>
        <v>0</v>
      </c>
      <c r="S616" s="307">
        <f t="shared" ca="1" si="282"/>
        <v>5.6519999999999806</v>
      </c>
      <c r="T616" s="304">
        <f t="shared" ca="1" si="262"/>
        <v>55.446119999999816</v>
      </c>
      <c r="U616" s="311">
        <f t="shared" ca="1" si="263"/>
        <v>0</v>
      </c>
      <c r="V616" s="306">
        <f t="shared" ca="1" si="264"/>
        <v>0.83293499230444124</v>
      </c>
      <c r="W616" s="304">
        <f t="shared" ca="1" si="265"/>
        <v>1.2026457285126415</v>
      </c>
      <c r="Y616" s="314" t="str">
        <f t="shared" ca="1" si="283"/>
        <v/>
      </c>
      <c r="Z616" s="315" t="str">
        <f t="shared" ca="1" si="284"/>
        <v/>
      </c>
      <c r="AA616" s="316" t="str">
        <f t="shared" ca="1" si="285"/>
        <v/>
      </c>
      <c r="AC616" s="310" t="e">
        <f t="shared" ca="1" si="286"/>
        <v>#N/A</v>
      </c>
      <c r="AD616" s="323" t="e">
        <f t="shared" ca="1" si="287"/>
        <v>#N/A</v>
      </c>
      <c r="AE616" s="324" t="e">
        <f t="shared" ca="1" si="266"/>
        <v>#N/A</v>
      </c>
      <c r="AG616" s="306">
        <f t="shared" ca="1" si="288"/>
        <v>4.7607056821236275</v>
      </c>
      <c r="AH616" s="304">
        <f t="shared" ca="1" si="289"/>
        <v>-0.20577329388766211</v>
      </c>
    </row>
    <row r="617" spans="1:34" x14ac:dyDescent="0.2">
      <c r="A617" s="347">
        <f t="shared" ca="1" si="267"/>
        <v>0.1</v>
      </c>
      <c r="B617" s="304">
        <f t="shared" ca="1" si="268"/>
        <v>29.300000000000075</v>
      </c>
      <c r="D617" s="306">
        <f t="shared" ca="1" si="269"/>
        <v>-0.18033739208225</v>
      </c>
      <c r="E617" s="307">
        <f t="shared" ca="1" si="270"/>
        <v>-9.6970630931517103</v>
      </c>
      <c r="F617" s="304">
        <f t="shared" ca="1" si="271"/>
        <v>9.6987398257478805</v>
      </c>
      <c r="G617" s="306">
        <f t="shared" ca="1" si="272"/>
        <v>25.011715335253314</v>
      </c>
      <c r="H617" s="307">
        <f t="shared" ca="1" si="273"/>
        <v>-16.644672033391338</v>
      </c>
      <c r="I617" s="304">
        <f t="shared" ca="1" si="274"/>
        <v>30.043818184626694</v>
      </c>
      <c r="J617" s="306">
        <f t="shared" ca="1" si="275"/>
        <v>874.68721092639623</v>
      </c>
      <c r="K617" s="307">
        <f t="shared" ca="1" si="276"/>
        <v>3808.65994190631</v>
      </c>
      <c r="L617" s="304">
        <f t="shared" ca="1" si="261"/>
        <v>3907.8086276121526</v>
      </c>
      <c r="M617" s="306">
        <f t="shared" ca="1" si="277"/>
        <v>-0.58717717109027623</v>
      </c>
      <c r="N617" s="304">
        <f t="shared" ca="1" si="278"/>
        <v>-33.64277372990388</v>
      </c>
      <c r="P617" s="310">
        <f t="shared" ca="1" si="279"/>
        <v>23</v>
      </c>
      <c r="Q617" s="304">
        <f t="shared" ca="1" si="280"/>
        <v>0</v>
      </c>
      <c r="R617" s="306">
        <f t="shared" ca="1" si="281"/>
        <v>0</v>
      </c>
      <c r="S617" s="307">
        <f t="shared" ca="1" si="282"/>
        <v>5.6519999999999806</v>
      </c>
      <c r="T617" s="304">
        <f t="shared" ca="1" si="262"/>
        <v>55.446119999999816</v>
      </c>
      <c r="U617" s="311">
        <f t="shared" ca="1" si="263"/>
        <v>0</v>
      </c>
      <c r="V617" s="306">
        <f t="shared" ca="1" si="264"/>
        <v>0.83307467197066754</v>
      </c>
      <c r="W617" s="304">
        <f t="shared" ca="1" si="265"/>
        <v>1.244824837202215</v>
      </c>
      <c r="Y617" s="314" t="str">
        <f t="shared" ca="1" si="283"/>
        <v/>
      </c>
      <c r="Z617" s="315" t="str">
        <f t="shared" ca="1" si="284"/>
        <v/>
      </c>
      <c r="AA617" s="316" t="str">
        <f t="shared" ca="1" si="285"/>
        <v/>
      </c>
      <c r="AC617" s="310" t="e">
        <f t="shared" ca="1" si="286"/>
        <v>#N/A</v>
      </c>
      <c r="AD617" s="323" t="e">
        <f t="shared" ca="1" si="287"/>
        <v>#N/A</v>
      </c>
      <c r="AE617" s="324" t="e">
        <f t="shared" ca="1" si="266"/>
        <v>#N/A</v>
      </c>
      <c r="AG617" s="306">
        <f t="shared" ca="1" si="288"/>
        <v>4.9939989699437701</v>
      </c>
      <c r="AH617" s="304">
        <f t="shared" ca="1" si="289"/>
        <v>-0.21278232988546456</v>
      </c>
    </row>
    <row r="618" spans="1:34" x14ac:dyDescent="0.2">
      <c r="A618" s="347">
        <f t="shared" ca="1" si="267"/>
        <v>0.1</v>
      </c>
      <c r="B618" s="304">
        <f t="shared" ca="1" si="268"/>
        <v>29.400000000000077</v>
      </c>
      <c r="D618" s="306">
        <f t="shared" ca="1" si="269"/>
        <v>-0.18335571199067002</v>
      </c>
      <c r="E618" s="307">
        <f t="shared" ca="1" si="270"/>
        <v>-9.6879813519134341</v>
      </c>
      <c r="F618" s="304">
        <f t="shared" ca="1" si="271"/>
        <v>9.6897163009110869</v>
      </c>
      <c r="G618" s="306">
        <f t="shared" ca="1" si="272"/>
        <v>24.993379764054247</v>
      </c>
      <c r="H618" s="307">
        <f t="shared" ca="1" si="273"/>
        <v>-17.61347016858268</v>
      </c>
      <c r="I618" s="304">
        <f t="shared" ca="1" si="274"/>
        <v>30.576189484790092</v>
      </c>
      <c r="J618" s="306">
        <f t="shared" ca="1" si="275"/>
        <v>877.18746568136157</v>
      </c>
      <c r="K618" s="307">
        <f t="shared" ca="1" si="276"/>
        <v>3806.9470347962115</v>
      </c>
      <c r="L618" s="304">
        <f t="shared" ca="1" si="261"/>
        <v>3906.6998317879702</v>
      </c>
      <c r="M618" s="306">
        <f t="shared" ca="1" si="277"/>
        <v>-0.61389035482697829</v>
      </c>
      <c r="N618" s="304">
        <f t="shared" ca="1" si="278"/>
        <v>-35.173326415374419</v>
      </c>
      <c r="P618" s="310">
        <f t="shared" ca="1" si="279"/>
        <v>23</v>
      </c>
      <c r="Q618" s="304">
        <f t="shared" ca="1" si="280"/>
        <v>0</v>
      </c>
      <c r="R618" s="306">
        <f t="shared" ca="1" si="281"/>
        <v>0</v>
      </c>
      <c r="S618" s="307">
        <f t="shared" ca="1" si="282"/>
        <v>5.6519999999999806</v>
      </c>
      <c r="T618" s="304">
        <f t="shared" ca="1" si="262"/>
        <v>55.446119999999816</v>
      </c>
      <c r="U618" s="311">
        <f t="shared" ca="1" si="263"/>
        <v>0</v>
      </c>
      <c r="V618" s="306">
        <f t="shared" ca="1" si="264"/>
        <v>0.833222750207393</v>
      </c>
      <c r="W618" s="304">
        <f t="shared" ca="1" si="265"/>
        <v>1.2895610449532222</v>
      </c>
      <c r="Y618" s="314" t="str">
        <f t="shared" ca="1" si="283"/>
        <v/>
      </c>
      <c r="Z618" s="315" t="str">
        <f t="shared" ca="1" si="284"/>
        <v/>
      </c>
      <c r="AA618" s="316" t="str">
        <f t="shared" ca="1" si="285"/>
        <v/>
      </c>
      <c r="AC618" s="310" t="e">
        <f t="shared" ca="1" si="286"/>
        <v>#N/A</v>
      </c>
      <c r="AD618" s="323" t="e">
        <f t="shared" ca="1" si="287"/>
        <v>#N/A</v>
      </c>
      <c r="AE618" s="324" t="e">
        <f t="shared" ca="1" si="266"/>
        <v>#N/A</v>
      </c>
      <c r="AG618" s="306">
        <f t="shared" ca="1" si="288"/>
        <v>5.214624533807525</v>
      </c>
      <c r="AH618" s="304">
        <f t="shared" ca="1" si="289"/>
        <v>-0.22024501719784489</v>
      </c>
    </row>
    <row r="619" spans="1:34" x14ac:dyDescent="0.2">
      <c r="A619" s="347">
        <f t="shared" ca="1" si="267"/>
        <v>0.1</v>
      </c>
      <c r="B619" s="304">
        <f t="shared" ca="1" si="268"/>
        <v>29.500000000000078</v>
      </c>
      <c r="D619" s="306">
        <f t="shared" ca="1" si="269"/>
        <v>-0.18650109215135161</v>
      </c>
      <c r="E619" s="307">
        <f t="shared" ca="1" si="270"/>
        <v>-9.6785679386290795</v>
      </c>
      <c r="F619" s="304">
        <f t="shared" ca="1" si="271"/>
        <v>9.6803646625544228</v>
      </c>
      <c r="G619" s="306">
        <f t="shared" ca="1" si="272"/>
        <v>24.974729654839113</v>
      </c>
      <c r="H619" s="307">
        <f t="shared" ca="1" si="273"/>
        <v>-18.581326962445587</v>
      </c>
      <c r="I619" s="304">
        <f t="shared" ca="1" si="274"/>
        <v>31.128810337332318</v>
      </c>
      <c r="J619" s="306">
        <f t="shared" ca="1" si="275"/>
        <v>879.68587115230628</v>
      </c>
      <c r="K619" s="307">
        <f t="shared" ca="1" si="276"/>
        <v>3805.13729493966</v>
      </c>
      <c r="L619" s="304">
        <f t="shared" ca="1" si="261"/>
        <v>3905.4983120269949</v>
      </c>
      <c r="M619" s="306">
        <f t="shared" ca="1" si="277"/>
        <v>-0.63965333828088422</v>
      </c>
      <c r="N619" s="304">
        <f t="shared" ca="1" si="278"/>
        <v>-36.6494366349486</v>
      </c>
      <c r="P619" s="310">
        <f t="shared" ca="1" si="279"/>
        <v>23</v>
      </c>
      <c r="Q619" s="304">
        <f t="shared" ca="1" si="280"/>
        <v>0</v>
      </c>
      <c r="R619" s="306">
        <f t="shared" ca="1" si="281"/>
        <v>0</v>
      </c>
      <c r="S619" s="307">
        <f t="shared" ca="1" si="282"/>
        <v>5.6519999999999806</v>
      </c>
      <c r="T619" s="304">
        <f t="shared" ca="1" si="262"/>
        <v>55.446119999999816</v>
      </c>
      <c r="U619" s="311">
        <f t="shared" ca="1" si="263"/>
        <v>0</v>
      </c>
      <c r="V619" s="306">
        <f t="shared" ca="1" si="264"/>
        <v>0.83337922264015252</v>
      </c>
      <c r="W619" s="304">
        <f t="shared" ca="1" si="265"/>
        <v>1.336847226473455</v>
      </c>
      <c r="Y619" s="314" t="str">
        <f t="shared" ca="1" si="283"/>
        <v/>
      </c>
      <c r="Z619" s="315" t="str">
        <f t="shared" ca="1" si="284"/>
        <v/>
      </c>
      <c r="AA619" s="316" t="str">
        <f t="shared" ca="1" si="285"/>
        <v/>
      </c>
      <c r="AC619" s="310" t="e">
        <f t="shared" ca="1" si="286"/>
        <v>#N/A</v>
      </c>
      <c r="AD619" s="323" t="e">
        <f t="shared" ca="1" si="287"/>
        <v>#N/A</v>
      </c>
      <c r="AE619" s="324" t="e">
        <f t="shared" ca="1" si="266"/>
        <v>#N/A</v>
      </c>
      <c r="AG619" s="306">
        <f t="shared" ca="1" si="288"/>
        <v>5.4229084079157861</v>
      </c>
      <c r="AH619" s="304">
        <f t="shared" ca="1" si="289"/>
        <v>-0.22816012826490209</v>
      </c>
    </row>
    <row r="620" spans="1:34" x14ac:dyDescent="0.2">
      <c r="A620" s="347">
        <f t="shared" ca="1" si="267"/>
        <v>0.1</v>
      </c>
      <c r="B620" s="304">
        <f t="shared" ca="1" si="268"/>
        <v>29.60000000000008</v>
      </c>
      <c r="D620" s="306">
        <f t="shared" ca="1" si="269"/>
        <v>-0.18976577943833051</v>
      </c>
      <c r="E620" s="307">
        <f t="shared" ca="1" si="270"/>
        <v>-9.6688132867598942</v>
      </c>
      <c r="F620" s="304">
        <f t="shared" ca="1" si="271"/>
        <v>9.6706753344981298</v>
      </c>
      <c r="G620" s="306">
        <f t="shared" ca="1" si="272"/>
        <v>24.955753076895281</v>
      </c>
      <c r="H620" s="307">
        <f t="shared" ca="1" si="273"/>
        <v>-19.548208291121576</v>
      </c>
      <c r="I620" s="304">
        <f t="shared" ca="1" si="274"/>
        <v>31.700505658869901</v>
      </c>
      <c r="J620" s="306">
        <f t="shared" ca="1" si="275"/>
        <v>882.18239528889296</v>
      </c>
      <c r="K620" s="307">
        <f t="shared" ca="1" si="276"/>
        <v>3803.2308181769818</v>
      </c>
      <c r="L620" s="304">
        <f t="shared" ca="1" si="261"/>
        <v>3904.2041999476414</v>
      </c>
      <c r="M620" s="306">
        <f t="shared" ca="1" si="277"/>
        <v>-0.6644838527928365</v>
      </c>
      <c r="N620" s="304">
        <f t="shared" ca="1" si="278"/>
        <v>-38.07212031962181</v>
      </c>
      <c r="P620" s="310">
        <f t="shared" ca="1" si="279"/>
        <v>23</v>
      </c>
      <c r="Q620" s="304">
        <f t="shared" ca="1" si="280"/>
        <v>0</v>
      </c>
      <c r="R620" s="306">
        <f t="shared" ca="1" si="281"/>
        <v>0</v>
      </c>
      <c r="S620" s="307">
        <f t="shared" ca="1" si="282"/>
        <v>5.6519999999999806</v>
      </c>
      <c r="T620" s="304">
        <f t="shared" ca="1" si="262"/>
        <v>55.446119999999816</v>
      </c>
      <c r="U620" s="311">
        <f t="shared" ca="1" si="263"/>
        <v>0</v>
      </c>
      <c r="V620" s="306">
        <f t="shared" ca="1" si="264"/>
        <v>0.83354408480473519</v>
      </c>
      <c r="W620" s="304">
        <f t="shared" ca="1" si="265"/>
        <v>1.3866760585282947</v>
      </c>
      <c r="Y620" s="314" t="str">
        <f t="shared" ca="1" si="283"/>
        <v/>
      </c>
      <c r="Z620" s="315" t="str">
        <f t="shared" ca="1" si="284"/>
        <v/>
      </c>
      <c r="AA620" s="316" t="str">
        <f t="shared" ca="1" si="285"/>
        <v/>
      </c>
      <c r="AC620" s="310" t="e">
        <f t="shared" ca="1" si="286"/>
        <v>#N/A</v>
      </c>
      <c r="AD620" s="323" t="e">
        <f t="shared" ca="1" si="287"/>
        <v>#N/A</v>
      </c>
      <c r="AE620" s="324" t="e">
        <f t="shared" ca="1" si="266"/>
        <v>#N/A</v>
      </c>
      <c r="AG620" s="306">
        <f t="shared" ca="1" si="288"/>
        <v>5.6192327970572222</v>
      </c>
      <c r="AH620" s="304">
        <f t="shared" ca="1" si="289"/>
        <v>-0.23652640241922498</v>
      </c>
    </row>
    <row r="621" spans="1:34" x14ac:dyDescent="0.2">
      <c r="A621" s="347">
        <f t="shared" ca="1" si="267"/>
        <v>0.1</v>
      </c>
      <c r="B621" s="304">
        <f t="shared" ca="1" si="268"/>
        <v>29.700000000000081</v>
      </c>
      <c r="D621" s="306">
        <f t="shared" ca="1" si="269"/>
        <v>-0.19314228020533242</v>
      </c>
      <c r="E621" s="307">
        <f t="shared" ca="1" si="270"/>
        <v>-9.658708812286994</v>
      </c>
      <c r="F621" s="304">
        <f t="shared" ca="1" si="271"/>
        <v>9.6606397231732721</v>
      </c>
      <c r="G621" s="306">
        <f t="shared" ca="1" si="272"/>
        <v>24.936438848874747</v>
      </c>
      <c r="H621" s="307">
        <f t="shared" ca="1" si="273"/>
        <v>-20.514079172350275</v>
      </c>
      <c r="I621" s="304">
        <f t="shared" ca="1" si="274"/>
        <v>32.290144421372986</v>
      </c>
      <c r="J621" s="306">
        <f t="shared" ca="1" si="275"/>
        <v>884.67700488518142</v>
      </c>
      <c r="K621" s="307">
        <f t="shared" ca="1" si="276"/>
        <v>3801.2277038038083</v>
      </c>
      <c r="L621" s="304">
        <f t="shared" ca="1" si="261"/>
        <v>3902.817630781406</v>
      </c>
      <c r="M621" s="306">
        <f t="shared" ca="1" si="277"/>
        <v>-0.68840295764084269</v>
      </c>
      <c r="N621" s="304">
        <f t="shared" ca="1" si="278"/>
        <v>-39.442584077143472</v>
      </c>
      <c r="P621" s="310">
        <f t="shared" ca="1" si="279"/>
        <v>23</v>
      </c>
      <c r="Q621" s="304">
        <f t="shared" ca="1" si="280"/>
        <v>0</v>
      </c>
      <c r="R621" s="306">
        <f t="shared" ca="1" si="281"/>
        <v>0</v>
      </c>
      <c r="S621" s="307">
        <f t="shared" ca="1" si="282"/>
        <v>5.6519999999999806</v>
      </c>
      <c r="T621" s="304">
        <f t="shared" ca="1" si="262"/>
        <v>55.446119999999816</v>
      </c>
      <c r="U621" s="311">
        <f t="shared" ca="1" si="263"/>
        <v>0</v>
      </c>
      <c r="V621" s="306">
        <f t="shared" ca="1" si="264"/>
        <v>0.83371733213867094</v>
      </c>
      <c r="W621" s="304">
        <f t="shared" ca="1" si="265"/>
        <v>1.4390400102298651</v>
      </c>
      <c r="Y621" s="314" t="str">
        <f t="shared" ca="1" si="283"/>
        <v/>
      </c>
      <c r="Z621" s="315" t="str">
        <f t="shared" ca="1" si="284"/>
        <v/>
      </c>
      <c r="AA621" s="316" t="str">
        <f t="shared" ca="1" si="285"/>
        <v/>
      </c>
      <c r="AC621" s="310" t="e">
        <f t="shared" ca="1" si="286"/>
        <v>#N/A</v>
      </c>
      <c r="AD621" s="323" t="e">
        <f t="shared" ca="1" si="287"/>
        <v>#N/A</v>
      </c>
      <c r="AE621" s="324" t="e">
        <f t="shared" ca="1" si="266"/>
        <v>#N/A</v>
      </c>
      <c r="AG621" s="306">
        <f t="shared" ca="1" si="288"/>
        <v>5.8040222642594896</v>
      </c>
      <c r="AH621" s="304">
        <f t="shared" ca="1" si="289"/>
        <v>-0.2453425439717444</v>
      </c>
    </row>
    <row r="622" spans="1:34" x14ac:dyDescent="0.2">
      <c r="A622" s="347">
        <f t="shared" ca="1" si="267"/>
        <v>0.1</v>
      </c>
      <c r="B622" s="304">
        <f t="shared" ca="1" si="268"/>
        <v>29.800000000000082</v>
      </c>
      <c r="D622" s="306">
        <f t="shared" ca="1" si="269"/>
        <v>-0.19662338147110875</v>
      </c>
      <c r="E622" s="307">
        <f t="shared" ca="1" si="270"/>
        <v>-9.6482468467499096</v>
      </c>
      <c r="F622" s="304">
        <f t="shared" ca="1" si="271"/>
        <v>9.6502501506417282</v>
      </c>
      <c r="G622" s="306">
        <f t="shared" ca="1" si="272"/>
        <v>24.916776510727637</v>
      </c>
      <c r="H622" s="307">
        <f t="shared" ca="1" si="273"/>
        <v>-21.478903857025266</v>
      </c>
      <c r="I622" s="304">
        <f t="shared" ca="1" si="274"/>
        <v>32.896642117165747</v>
      </c>
      <c r="J622" s="306">
        <f t="shared" ca="1" si="275"/>
        <v>887.16966565316159</v>
      </c>
      <c r="K622" s="307">
        <f t="shared" ca="1" si="276"/>
        <v>3799.1280546523394</v>
      </c>
      <c r="L622" s="304">
        <f t="shared" ca="1" si="261"/>
        <v>3901.3387434701967</v>
      </c>
      <c r="M622" s="306">
        <f t="shared" ca="1" si="277"/>
        <v>-0.71143435444130176</v>
      </c>
      <c r="N622" s="304">
        <f t="shared" ca="1" si="278"/>
        <v>-40.762185910100882</v>
      </c>
      <c r="P622" s="310">
        <f t="shared" ca="1" si="279"/>
        <v>23</v>
      </c>
      <c r="Q622" s="304">
        <f t="shared" ca="1" si="280"/>
        <v>0</v>
      </c>
      <c r="R622" s="306">
        <f t="shared" ca="1" si="281"/>
        <v>0</v>
      </c>
      <c r="S622" s="307">
        <f t="shared" ca="1" si="282"/>
        <v>5.6519999999999806</v>
      </c>
      <c r="T622" s="304">
        <f t="shared" ca="1" si="262"/>
        <v>55.446119999999816</v>
      </c>
      <c r="U622" s="311">
        <f t="shared" ca="1" si="263"/>
        <v>0</v>
      </c>
      <c r="V622" s="306">
        <f t="shared" ca="1" si="264"/>
        <v>0.83389895997350638</v>
      </c>
      <c r="W622" s="304">
        <f t="shared" ca="1" si="265"/>
        <v>1.4939313343598835</v>
      </c>
      <c r="Y622" s="314" t="str">
        <f t="shared" ca="1" si="283"/>
        <v/>
      </c>
      <c r="Z622" s="315" t="str">
        <f t="shared" ca="1" si="284"/>
        <v/>
      </c>
      <c r="AA622" s="316" t="str">
        <f t="shared" ca="1" si="285"/>
        <v/>
      </c>
      <c r="AC622" s="310" t="e">
        <f t="shared" ca="1" si="286"/>
        <v>#N/A</v>
      </c>
      <c r="AD622" s="323" t="e">
        <f t="shared" ca="1" si="287"/>
        <v>#N/A</v>
      </c>
      <c r="AE622" s="324" t="e">
        <f t="shared" ca="1" si="266"/>
        <v>#N/A</v>
      </c>
      <c r="AG622" s="306">
        <f t="shared" ca="1" si="288"/>
        <v>5.9777314787273372</v>
      </c>
      <c r="AH622" s="304">
        <f t="shared" ca="1" si="289"/>
        <v>-0.25460722049360757</v>
      </c>
    </row>
    <row r="623" spans="1:34" x14ac:dyDescent="0.2">
      <c r="A623" s="347">
        <f t="shared" ca="1" si="267"/>
        <v>0.1</v>
      </c>
      <c r="B623" s="304">
        <f t="shared" ca="1" si="268"/>
        <v>29.900000000000084</v>
      </c>
      <c r="D623" s="306">
        <f t="shared" ca="1" si="269"/>
        <v>-0.20020216513301686</v>
      </c>
      <c r="E623" s="307">
        <f t="shared" ca="1" si="270"/>
        <v>-9.637420571236051</v>
      </c>
      <c r="F623" s="304">
        <f t="shared" ca="1" si="271"/>
        <v>9.6394997885682727</v>
      </c>
      <c r="G623" s="306">
        <f t="shared" ca="1" si="272"/>
        <v>24.896756294214335</v>
      </c>
      <c r="H623" s="307">
        <f t="shared" ca="1" si="273"/>
        <v>-22.442645914148869</v>
      </c>
      <c r="I623" s="304">
        <f t="shared" ca="1" si="274"/>
        <v>33.518962239326029</v>
      </c>
      <c r="J623" s="306">
        <f t="shared" ca="1" si="275"/>
        <v>889.66034229340869</v>
      </c>
      <c r="K623" s="307">
        <f t="shared" ca="1" si="276"/>
        <v>3796.9319771637806</v>
      </c>
      <c r="L623" s="304">
        <f t="shared" ca="1" si="261"/>
        <v>3899.7676807546472</v>
      </c>
      <c r="M623" s="306">
        <f t="shared" ca="1" si="277"/>
        <v>-0.73360377311254132</v>
      </c>
      <c r="N623" s="304">
        <f t="shared" ca="1" si="278"/>
        <v>-42.032400034221439</v>
      </c>
      <c r="P623" s="310">
        <f t="shared" ca="1" si="279"/>
        <v>23</v>
      </c>
      <c r="Q623" s="304">
        <f t="shared" ca="1" si="280"/>
        <v>0</v>
      </c>
      <c r="R623" s="306">
        <f t="shared" ca="1" si="281"/>
        <v>0</v>
      </c>
      <c r="S623" s="307">
        <f t="shared" ca="1" si="282"/>
        <v>5.6519999999999806</v>
      </c>
      <c r="T623" s="304">
        <f t="shared" ca="1" si="262"/>
        <v>55.446119999999816</v>
      </c>
      <c r="U623" s="311">
        <f t="shared" ca="1" si="263"/>
        <v>0</v>
      </c>
      <c r="V623" s="306">
        <f t="shared" ca="1" si="264"/>
        <v>0.83408896352781137</v>
      </c>
      <c r="W623" s="304">
        <f t="shared" ca="1" si="265"/>
        <v>1.5513420596527421</v>
      </c>
      <c r="Y623" s="314" t="str">
        <f t="shared" ca="1" si="283"/>
        <v/>
      </c>
      <c r="Z623" s="315" t="str">
        <f t="shared" ca="1" si="284"/>
        <v/>
      </c>
      <c r="AA623" s="316" t="str">
        <f t="shared" ca="1" si="285"/>
        <v/>
      </c>
      <c r="AC623" s="310" t="e">
        <f t="shared" ca="1" si="286"/>
        <v>#N/A</v>
      </c>
      <c r="AD623" s="323" t="e">
        <f t="shared" ca="1" si="287"/>
        <v>#N/A</v>
      </c>
      <c r="AE623" s="324" t="e">
        <f t="shared" ca="1" si="266"/>
        <v>#N/A</v>
      </c>
      <c r="AG623" s="306">
        <f t="shared" ca="1" si="288"/>
        <v>6.1408345737603875</v>
      </c>
      <c r="AH623" s="304">
        <f t="shared" ca="1" si="289"/>
        <v>-0.26431906128094279</v>
      </c>
    </row>
    <row r="624" spans="1:34" x14ac:dyDescent="0.2">
      <c r="A624" s="347">
        <f t="shared" ca="1" si="267"/>
        <v>0.1</v>
      </c>
      <c r="B624" s="304">
        <f t="shared" ca="1" si="268"/>
        <v>30.000000000000085</v>
      </c>
      <c r="D624" s="306">
        <f t="shared" ca="1" si="269"/>
        <v>-0.20387201619877188</v>
      </c>
      <c r="E624" s="307">
        <f t="shared" ca="1" si="270"/>
        <v>-9.6262239523380835</v>
      </c>
      <c r="F624" s="304">
        <f t="shared" ca="1" si="271"/>
        <v>9.6283825941617209</v>
      </c>
      <c r="G624" s="306">
        <f t="shared" ca="1" si="272"/>
        <v>24.876369092594459</v>
      </c>
      <c r="H624" s="307">
        <f t="shared" ca="1" si="273"/>
        <v>-23.405268309382677</v>
      </c>
      <c r="I624" s="304">
        <f t="shared" ca="1" si="274"/>
        <v>34.1561169318935</v>
      </c>
      <c r="J624" s="306">
        <f t="shared" ca="1" si="275"/>
        <v>892.14899856274917</v>
      </c>
      <c r="K624" s="307">
        <f t="shared" ca="1" si="276"/>
        <v>3794.639581452604</v>
      </c>
      <c r="L624" s="304">
        <f t="shared" ca="1" si="261"/>
        <v>3898.1045892540274</v>
      </c>
      <c r="M624" s="306">
        <f t="shared" ca="1" si="277"/>
        <v>-0.75493843017278373</v>
      </c>
      <c r="N624" s="304">
        <f t="shared" ca="1" si="278"/>
        <v>-43.254785841132311</v>
      </c>
      <c r="P624" s="310">
        <f t="shared" ca="1" si="279"/>
        <v>23</v>
      </c>
      <c r="Q624" s="304">
        <f t="shared" ca="1" si="280"/>
        <v>0</v>
      </c>
      <c r="R624" s="306">
        <f t="shared" ca="1" si="281"/>
        <v>0</v>
      </c>
      <c r="S624" s="307">
        <f t="shared" ca="1" si="282"/>
        <v>5.6519999999999806</v>
      </c>
      <c r="T624" s="304">
        <f t="shared" ca="1" si="262"/>
        <v>55.446119999999816</v>
      </c>
      <c r="U624" s="311">
        <f t="shared" ca="1" si="263"/>
        <v>0</v>
      </c>
      <c r="V624" s="306">
        <f t="shared" ca="1" si="264"/>
        <v>0.8342873379008614</v>
      </c>
      <c r="W624" s="304">
        <f t="shared" ca="1" si="265"/>
        <v>1.6112639839673266</v>
      </c>
      <c r="Y624" s="314" t="str">
        <f t="shared" ca="1" si="283"/>
        <v/>
      </c>
      <c r="Z624" s="315" t="str">
        <f t="shared" ca="1" si="284"/>
        <v/>
      </c>
      <c r="AA624" s="316" t="str">
        <f t="shared" ca="1" si="285"/>
        <v/>
      </c>
      <c r="AC624" s="310">
        <f t="shared" ca="1" si="286"/>
        <v>30.000000000000085</v>
      </c>
      <c r="AD624" s="323">
        <f t="shared" ca="1" si="287"/>
        <v>892.14899856274917</v>
      </c>
      <c r="AE624" s="324" t="e">
        <f t="shared" ca="1" si="266"/>
        <v>#N/A</v>
      </c>
      <c r="AG624" s="306">
        <f t="shared" ca="1" si="288"/>
        <v>6.2938160866627468</v>
      </c>
      <c r="AH624" s="304">
        <f t="shared" ca="1" si="289"/>
        <v>-0.27447665598951654</v>
      </c>
    </row>
    <row r="625" spans="1:34" x14ac:dyDescent="0.2">
      <c r="A625" s="347">
        <f t="shared" ca="1" si="267"/>
        <v>0.1</v>
      </c>
      <c r="B625" s="304">
        <f t="shared" ca="1" si="268"/>
        <v>30.100000000000087</v>
      </c>
      <c r="D625" s="306">
        <f t="shared" ca="1" si="269"/>
        <v>-0.20762662598809356</v>
      </c>
      <c r="E625" s="307">
        <f t="shared" ca="1" si="270"/>
        <v>-9.6146516808246822</v>
      </c>
      <c r="F625" s="304">
        <f t="shared" ca="1" si="271"/>
        <v>9.6168932488306265</v>
      </c>
      <c r="G625" s="306">
        <f t="shared" ca="1" si="272"/>
        <v>24.85560642999565</v>
      </c>
      <c r="H625" s="307">
        <f t="shared" ca="1" si="273"/>
        <v>-24.366733477465147</v>
      </c>
      <c r="I625" s="304">
        <f t="shared" ca="1" si="274"/>
        <v>34.807166954014825</v>
      </c>
      <c r="J625" s="306">
        <f t="shared" ca="1" si="275"/>
        <v>894.63559733887871</v>
      </c>
      <c r="K625" s="307">
        <f t="shared" ca="1" si="276"/>
        <v>3792.2509813632614</v>
      </c>
      <c r="L625" s="304">
        <f t="shared" ca="1" si="261"/>
        <v>3896.3496195383327</v>
      </c>
      <c r="M625" s="306">
        <f t="shared" ca="1" si="277"/>
        <v>-0.77546655755092575</v>
      </c>
      <c r="N625" s="304">
        <f t="shared" ca="1" si="278"/>
        <v>-44.430960901206802</v>
      </c>
      <c r="P625" s="310">
        <f t="shared" ca="1" si="279"/>
        <v>23</v>
      </c>
      <c r="Q625" s="304">
        <f t="shared" ca="1" si="280"/>
        <v>0</v>
      </c>
      <c r="R625" s="306">
        <f t="shared" ca="1" si="281"/>
        <v>0</v>
      </c>
      <c r="S625" s="307">
        <f t="shared" ca="1" si="282"/>
        <v>5.6519999999999806</v>
      </c>
      <c r="T625" s="304">
        <f t="shared" ca="1" si="262"/>
        <v>55.446119999999816</v>
      </c>
      <c r="U625" s="311">
        <f t="shared" ca="1" si="263"/>
        <v>0</v>
      </c>
      <c r="V625" s="306">
        <f t="shared" ca="1" si="264"/>
        <v>0.83449407806694098</v>
      </c>
      <c r="W625" s="304">
        <f t="shared" ca="1" si="265"/>
        <v>1.6736886682788998</v>
      </c>
      <c r="Y625" s="314" t="str">
        <f t="shared" ca="1" si="283"/>
        <v/>
      </c>
      <c r="Z625" s="315" t="str">
        <f t="shared" ca="1" si="284"/>
        <v/>
      </c>
      <c r="AA625" s="316" t="str">
        <f t="shared" ca="1" si="285"/>
        <v/>
      </c>
      <c r="AC625" s="310" t="e">
        <f t="shared" ca="1" si="286"/>
        <v>#N/A</v>
      </c>
      <c r="AD625" s="323" t="e">
        <f t="shared" ca="1" si="287"/>
        <v>#N/A</v>
      </c>
      <c r="AE625" s="324" t="e">
        <f t="shared" ca="1" si="266"/>
        <v>#N/A</v>
      </c>
      <c r="AG625" s="306">
        <f t="shared" ca="1" si="288"/>
        <v>6.437163397345242</v>
      </c>
      <c r="AH625" s="304">
        <f t="shared" ca="1" si="289"/>
        <v>-0.28507855342663341</v>
      </c>
    </row>
    <row r="626" spans="1:34" x14ac:dyDescent="0.2">
      <c r="A626" s="347">
        <f t="shared" ca="1" si="267"/>
        <v>0.1</v>
      </c>
      <c r="B626" s="304">
        <f t="shared" ca="1" si="268"/>
        <v>30.200000000000088</v>
      </c>
      <c r="D626" s="306">
        <f t="shared" ca="1" si="269"/>
        <v>-0.21145999119043624</v>
      </c>
      <c r="E626" s="307">
        <f t="shared" ca="1" si="270"/>
        <v>-9.6026991135381685</v>
      </c>
      <c r="F626" s="304">
        <f t="shared" ca="1" si="271"/>
        <v>9.6050271000669749</v>
      </c>
      <c r="G626" s="306">
        <f t="shared" ca="1" si="272"/>
        <v>24.834460430876607</v>
      </c>
      <c r="H626" s="307">
        <f t="shared" ca="1" si="273"/>
        <v>-25.327003388818962</v>
      </c>
      <c r="I626" s="304">
        <f t="shared" ca="1" si="274"/>
        <v>35.471221089074774</v>
      </c>
      <c r="J626" s="306">
        <f t="shared" ca="1" si="275"/>
        <v>897.12010068192228</v>
      </c>
      <c r="K626" s="307">
        <f t="shared" ca="1" si="276"/>
        <v>3789.7662945199472</v>
      </c>
      <c r="L626" s="304">
        <f t="shared" ca="1" si="261"/>
        <v>3894.5029261931481</v>
      </c>
      <c r="M626" s="306">
        <f t="shared" ca="1" si="277"/>
        <v>-0.79521699825046011</v>
      </c>
      <c r="N626" s="304">
        <f t="shared" ca="1" si="278"/>
        <v>-45.562577796813535</v>
      </c>
      <c r="P626" s="310">
        <f t="shared" ca="1" si="279"/>
        <v>23</v>
      </c>
      <c r="Q626" s="304">
        <f t="shared" ca="1" si="280"/>
        <v>0</v>
      </c>
      <c r="R626" s="306">
        <f t="shared" ca="1" si="281"/>
        <v>0</v>
      </c>
      <c r="S626" s="307">
        <f t="shared" ca="1" si="282"/>
        <v>5.6519999999999806</v>
      </c>
      <c r="T626" s="304">
        <f t="shared" ca="1" si="262"/>
        <v>55.446119999999816</v>
      </c>
      <c r="U626" s="311">
        <f t="shared" ca="1" si="263"/>
        <v>0</v>
      </c>
      <c r="V626" s="306">
        <f t="shared" ca="1" si="264"/>
        <v>0.83470917887021512</v>
      </c>
      <c r="W626" s="304">
        <f t="shared" ca="1" si="265"/>
        <v>1.7386074314258295</v>
      </c>
      <c r="Y626" s="314" t="str">
        <f t="shared" ca="1" si="283"/>
        <v/>
      </c>
      <c r="Z626" s="315" t="str">
        <f t="shared" ca="1" si="284"/>
        <v/>
      </c>
      <c r="AA626" s="316" t="str">
        <f t="shared" ca="1" si="285"/>
        <v/>
      </c>
      <c r="AC626" s="310" t="e">
        <f t="shared" ca="1" si="286"/>
        <v>#N/A</v>
      </c>
      <c r="AD626" s="323" t="e">
        <f t="shared" ca="1" si="287"/>
        <v>#N/A</v>
      </c>
      <c r="AE626" s="324" t="e">
        <f t="shared" ca="1" si="266"/>
        <v>#N/A</v>
      </c>
      <c r="AG626" s="306">
        <f t="shared" ca="1" si="288"/>
        <v>6.571360546215689</v>
      </c>
      <c r="AH626" s="304">
        <f t="shared" ca="1" si="289"/>
        <v>-0.29612326048812909</v>
      </c>
    </row>
    <row r="627" spans="1:34" x14ac:dyDescent="0.2">
      <c r="A627" s="347">
        <f t="shared" ca="1" si="267"/>
        <v>0.1</v>
      </c>
      <c r="B627" s="304">
        <f t="shared" ca="1" si="268"/>
        <v>30.30000000000009</v>
      </c>
      <c r="D627" s="306">
        <f t="shared" ca="1" si="269"/>
        <v>-0.21536640958279352</v>
      </c>
      <c r="E627" s="307">
        <f t="shared" ca="1" si="270"/>
        <v>-9.5903622188400952</v>
      </c>
      <c r="F627" s="304">
        <f t="shared" ca="1" si="271"/>
        <v>9.5927801068789282</v>
      </c>
      <c r="G627" s="306">
        <f t="shared" ca="1" si="272"/>
        <v>24.812923789918329</v>
      </c>
      <c r="H627" s="307">
        <f t="shared" ca="1" si="273"/>
        <v>-26.286039610702971</v>
      </c>
      <c r="I627" s="304">
        <f t="shared" ca="1" si="274"/>
        <v>36.147435115368012</v>
      </c>
      <c r="J627" s="306">
        <f t="shared" ca="1" si="275"/>
        <v>899.60246989296206</v>
      </c>
      <c r="K627" s="307">
        <f t="shared" ca="1" si="276"/>
        <v>3787.185642369971</v>
      </c>
      <c r="L627" s="304">
        <f t="shared" ca="1" si="261"/>
        <v>3892.5646678778207</v>
      </c>
      <c r="M627" s="306">
        <f t="shared" ca="1" si="277"/>
        <v>-0.81421886400316645</v>
      </c>
      <c r="N627" s="304">
        <f t="shared" ca="1" si="278"/>
        <v>-46.651304507317789</v>
      </c>
      <c r="P627" s="310">
        <f t="shared" ca="1" si="279"/>
        <v>23</v>
      </c>
      <c r="Q627" s="304">
        <f t="shared" ca="1" si="280"/>
        <v>0</v>
      </c>
      <c r="R627" s="306">
        <f t="shared" ca="1" si="281"/>
        <v>0</v>
      </c>
      <c r="S627" s="307">
        <f t="shared" ca="1" si="282"/>
        <v>5.6519999999999806</v>
      </c>
      <c r="T627" s="304">
        <f t="shared" ca="1" si="262"/>
        <v>55.446119999999816</v>
      </c>
      <c r="U627" s="311">
        <f t="shared" ca="1" si="263"/>
        <v>0</v>
      </c>
      <c r="V627" s="306">
        <f t="shared" ca="1" si="264"/>
        <v>0.8349326350201226</v>
      </c>
      <c r="W627" s="304">
        <f t="shared" ca="1" si="265"/>
        <v>1.8060113455498157</v>
      </c>
      <c r="Y627" s="314" t="str">
        <f t="shared" ca="1" si="283"/>
        <v/>
      </c>
      <c r="Z627" s="315" t="str">
        <f t="shared" ca="1" si="284"/>
        <v/>
      </c>
      <c r="AA627" s="316" t="str">
        <f t="shared" ca="1" si="285"/>
        <v/>
      </c>
      <c r="AC627" s="310" t="e">
        <f t="shared" ca="1" si="286"/>
        <v>#N/A</v>
      </c>
      <c r="AD627" s="323" t="e">
        <f t="shared" ca="1" si="287"/>
        <v>#N/A</v>
      </c>
      <c r="AE627" s="324" t="e">
        <f t="shared" ca="1" si="266"/>
        <v>#N/A</v>
      </c>
      <c r="AG627" s="306">
        <f t="shared" ca="1" si="288"/>
        <v>6.6968832914750038</v>
      </c>
      <c r="AH627" s="304">
        <f t="shared" ca="1" si="289"/>
        <v>-0.30760924122891642</v>
      </c>
    </row>
    <row r="628" spans="1:34" x14ac:dyDescent="0.2">
      <c r="A628" s="347">
        <f t="shared" ca="1" si="267"/>
        <v>0.1</v>
      </c>
      <c r="B628" s="304">
        <f t="shared" ca="1" si="268"/>
        <v>30.400000000000091</v>
      </c>
      <c r="D628" s="306">
        <f t="shared" ca="1" si="269"/>
        <v>-0.21934047312115934</v>
      </c>
      <c r="E628" s="307">
        <f t="shared" ca="1" si="270"/>
        <v>-9.5776375257705126</v>
      </c>
      <c r="F628" s="304">
        <f t="shared" ca="1" si="271"/>
        <v>9.5801487889383274</v>
      </c>
      <c r="G628" s="306">
        <f t="shared" ca="1" si="272"/>
        <v>24.790989742606214</v>
      </c>
      <c r="H628" s="307">
        <f t="shared" ca="1" si="273"/>
        <v>-27.243803363280023</v>
      </c>
      <c r="I628" s="304">
        <f t="shared" ca="1" si="274"/>
        <v>36.835010440002243</v>
      </c>
      <c r="J628" s="306">
        <f t="shared" ca="1" si="275"/>
        <v>902.08266556958824</v>
      </c>
      <c r="K628" s="307">
        <f t="shared" ca="1" si="276"/>
        <v>3784.5091502212717</v>
      </c>
      <c r="L628" s="304">
        <f t="shared" ca="1" si="261"/>
        <v>3890.5350073774771</v>
      </c>
      <c r="M628" s="306">
        <f t="shared" ca="1" si="277"/>
        <v>-0.83250124935649883</v>
      </c>
      <c r="N628" s="304">
        <f t="shared" ca="1" si="278"/>
        <v>-47.698808027495524</v>
      </c>
      <c r="P628" s="310">
        <f t="shared" ca="1" si="279"/>
        <v>23</v>
      </c>
      <c r="Q628" s="304">
        <f t="shared" ca="1" si="280"/>
        <v>0</v>
      </c>
      <c r="R628" s="306">
        <f t="shared" ca="1" si="281"/>
        <v>0</v>
      </c>
      <c r="S628" s="307">
        <f t="shared" ca="1" si="282"/>
        <v>5.6519999999999806</v>
      </c>
      <c r="T628" s="304">
        <f t="shared" ca="1" si="262"/>
        <v>55.446119999999816</v>
      </c>
      <c r="U628" s="311">
        <f t="shared" ca="1" si="263"/>
        <v>0</v>
      </c>
      <c r="V628" s="306">
        <f t="shared" ca="1" si="264"/>
        <v>0.83516444108724219</v>
      </c>
      <c r="W628" s="304">
        <f t="shared" ca="1" si="265"/>
        <v>1.8758912321723267</v>
      </c>
      <c r="Y628" s="314" t="str">
        <f t="shared" ca="1" si="283"/>
        <v/>
      </c>
      <c r="Z628" s="315" t="str">
        <f t="shared" ca="1" si="284"/>
        <v/>
      </c>
      <c r="AA628" s="316" t="str">
        <f t="shared" ca="1" si="285"/>
        <v/>
      </c>
      <c r="AC628" s="310" t="e">
        <f t="shared" ca="1" si="286"/>
        <v>#N/A</v>
      </c>
      <c r="AD628" s="323" t="e">
        <f t="shared" ca="1" si="287"/>
        <v>#N/A</v>
      </c>
      <c r="AE628" s="324" t="e">
        <f t="shared" ca="1" si="266"/>
        <v>#N/A</v>
      </c>
      <c r="AG628" s="306">
        <f t="shared" ca="1" si="288"/>
        <v>6.8141952575506064</v>
      </c>
      <c r="AH628" s="304">
        <f t="shared" ca="1" si="289"/>
        <v>-0.31953491605623174</v>
      </c>
    </row>
    <row r="629" spans="1:34" x14ac:dyDescent="0.2">
      <c r="A629" s="347">
        <f t="shared" ca="1" si="267"/>
        <v>0.1</v>
      </c>
      <c r="B629" s="304">
        <f t="shared" ca="1" si="268"/>
        <v>30.500000000000092</v>
      </c>
      <c r="D629" s="306">
        <f t="shared" ca="1" si="269"/>
        <v>-0.22337705902694305</v>
      </c>
      <c r="E629" s="307">
        <f t="shared" ca="1" si="270"/>
        <v>-9.5645220769649661</v>
      </c>
      <c r="F629" s="304">
        <f t="shared" ca="1" si="271"/>
        <v>9.5671301794869379</v>
      </c>
      <c r="G629" s="306">
        <f t="shared" ca="1" si="272"/>
        <v>24.768652036703521</v>
      </c>
      <c r="H629" s="307">
        <f t="shared" ca="1" si="273"/>
        <v>-28.20025557097652</v>
      </c>
      <c r="I629" s="304">
        <f t="shared" ca="1" si="274"/>
        <v>37.533192483236618</v>
      </c>
      <c r="J629" s="306">
        <f t="shared" ca="1" si="275"/>
        <v>904.56064765855376</v>
      </c>
      <c r="K629" s="307">
        <f t="shared" ca="1" si="276"/>
        <v>3781.736947274559</v>
      </c>
      <c r="L629" s="304">
        <f t="shared" ca="1" si="261"/>
        <v>3888.4141116493706</v>
      </c>
      <c r="M629" s="306">
        <f t="shared" ca="1" si="277"/>
        <v>-0.85009299634148117</v>
      </c>
      <c r="N629" s="304">
        <f t="shared" ca="1" si="278"/>
        <v>-48.706740883997</v>
      </c>
      <c r="P629" s="310">
        <f t="shared" ca="1" si="279"/>
        <v>23</v>
      </c>
      <c r="Q629" s="304">
        <f t="shared" ca="1" si="280"/>
        <v>0</v>
      </c>
      <c r="R629" s="306">
        <f t="shared" ca="1" si="281"/>
        <v>0</v>
      </c>
      <c r="S629" s="307">
        <f t="shared" ca="1" si="282"/>
        <v>5.6519999999999806</v>
      </c>
      <c r="T629" s="304">
        <f t="shared" ca="1" si="262"/>
        <v>55.446119999999816</v>
      </c>
      <c r="U629" s="311">
        <f t="shared" ca="1" si="263"/>
        <v>0</v>
      </c>
      <c r="V629" s="306">
        <f t="shared" ca="1" si="264"/>
        <v>0.83540459149959234</v>
      </c>
      <c r="W629" s="304">
        <f t="shared" ca="1" si="265"/>
        <v>1.9482376588541221</v>
      </c>
      <c r="Y629" s="314" t="str">
        <f t="shared" ca="1" si="283"/>
        <v/>
      </c>
      <c r="Z629" s="315" t="str">
        <f t="shared" ca="1" si="284"/>
        <v/>
      </c>
      <c r="AA629" s="316" t="str">
        <f t="shared" ca="1" si="285"/>
        <v/>
      </c>
      <c r="AC629" s="310" t="e">
        <f t="shared" ca="1" si="286"/>
        <v>#N/A</v>
      </c>
      <c r="AD629" s="323" t="e">
        <f t="shared" ca="1" si="287"/>
        <v>#N/A</v>
      </c>
      <c r="AE629" s="324" t="e">
        <f t="shared" ca="1" si="266"/>
        <v>#N/A</v>
      </c>
      <c r="AG629" s="306">
        <f t="shared" ca="1" si="288"/>
        <v>6.9237450268929024</v>
      </c>
      <c r="AH629" s="304">
        <f t="shared" ca="1" si="289"/>
        <v>-0.33189866103544463</v>
      </c>
    </row>
    <row r="630" spans="1:34" x14ac:dyDescent="0.2">
      <c r="A630" s="347">
        <f t="shared" ca="1" si="267"/>
        <v>0.1</v>
      </c>
      <c r="B630" s="304">
        <f t="shared" ca="1" si="268"/>
        <v>30.600000000000094</v>
      </c>
      <c r="D630" s="306">
        <f t="shared" ca="1" si="269"/>
        <v>-0.22747131940001195</v>
      </c>
      <c r="E630" s="307">
        <f t="shared" ca="1" si="270"/>
        <v>-9.5510133852806423</v>
      </c>
      <c r="F630" s="304">
        <f t="shared" ca="1" si="271"/>
        <v>9.5537217819528095</v>
      </c>
      <c r="G630" s="306">
        <f t="shared" ca="1" si="272"/>
        <v>24.74590490476352</v>
      </c>
      <c r="H630" s="307">
        <f t="shared" ca="1" si="273"/>
        <v>-29.155356909504583</v>
      </c>
      <c r="I630" s="304">
        <f t="shared" ca="1" si="274"/>
        <v>38.241268886847827</v>
      </c>
      <c r="J630" s="306">
        <f t="shared" ca="1" si="275"/>
        <v>907.03637550562712</v>
      </c>
      <c r="K630" s="307">
        <f t="shared" ca="1" si="276"/>
        <v>3778.8691666505351</v>
      </c>
      <c r="L630" s="304">
        <f t="shared" ca="1" si="261"/>
        <v>3886.2021518640145</v>
      </c>
      <c r="M630" s="306">
        <f t="shared" ca="1" si="277"/>
        <v>-0.86702250386446877</v>
      </c>
      <c r="N630" s="304">
        <f t="shared" ca="1" si="278"/>
        <v>-49.67673021429917</v>
      </c>
      <c r="P630" s="310">
        <f t="shared" ca="1" si="279"/>
        <v>23</v>
      </c>
      <c r="Q630" s="304">
        <f t="shared" ca="1" si="280"/>
        <v>0</v>
      </c>
      <c r="R630" s="306">
        <f t="shared" ca="1" si="281"/>
        <v>0</v>
      </c>
      <c r="S630" s="307">
        <f t="shared" ca="1" si="282"/>
        <v>5.6519999999999806</v>
      </c>
      <c r="T630" s="304">
        <f t="shared" ca="1" si="262"/>
        <v>55.446119999999816</v>
      </c>
      <c r="U630" s="311">
        <f t="shared" ca="1" si="263"/>
        <v>0</v>
      </c>
      <c r="V630" s="306">
        <f t="shared" ca="1" si="264"/>
        <v>0.83565308053932519</v>
      </c>
      <c r="W630" s="304">
        <f t="shared" ca="1" si="265"/>
        <v>2.0230409363888562</v>
      </c>
      <c r="Y630" s="314" t="str">
        <f t="shared" ca="1" si="283"/>
        <v/>
      </c>
      <c r="Z630" s="315" t="str">
        <f t="shared" ca="1" si="284"/>
        <v/>
      </c>
      <c r="AA630" s="316" t="str">
        <f t="shared" ca="1" si="285"/>
        <v/>
      </c>
      <c r="AC630" s="310" t="e">
        <f t="shared" ca="1" si="286"/>
        <v>#N/A</v>
      </c>
      <c r="AD630" s="323" t="e">
        <f t="shared" ca="1" si="287"/>
        <v>#N/A</v>
      </c>
      <c r="AE630" s="324" t="e">
        <f t="shared" ca="1" si="266"/>
        <v>#N/A</v>
      </c>
      <c r="AG630" s="306">
        <f t="shared" ca="1" si="288"/>
        <v>7.025964033993696</v>
      </c>
      <c r="AH630" s="304">
        <f t="shared" ca="1" si="289"/>
        <v>-0.34469880729903202</v>
      </c>
    </row>
    <row r="631" spans="1:34" x14ac:dyDescent="0.2">
      <c r="A631" s="347">
        <f t="shared" ca="1" si="267"/>
        <v>0.1</v>
      </c>
      <c r="B631" s="304">
        <f t="shared" ca="1" si="268"/>
        <v>30.700000000000095</v>
      </c>
      <c r="D631" s="306">
        <f t="shared" ca="1" si="269"/>
        <v>-0.23161866980605206</v>
      </c>
      <c r="E631" s="307">
        <f t="shared" ca="1" si="270"/>
        <v>-9.5371093940153226</v>
      </c>
      <c r="F631" s="304">
        <f t="shared" ca="1" si="271"/>
        <v>9.5399215301604041</v>
      </c>
      <c r="G631" s="306">
        <f t="shared" ca="1" si="272"/>
        <v>24.722743037782916</v>
      </c>
      <c r="H631" s="307">
        <f t="shared" ca="1" si="273"/>
        <v>-30.109067848906115</v>
      </c>
      <c r="I631" s="304">
        <f t="shared" ca="1" si="274"/>
        <v>38.95856760768131</v>
      </c>
      <c r="J631" s="306">
        <f t="shared" ca="1" si="275"/>
        <v>909.50980790275446</v>
      </c>
      <c r="K631" s="307">
        <f t="shared" ca="1" si="276"/>
        <v>3775.9059454126145</v>
      </c>
      <c r="L631" s="304">
        <f t="shared" ca="1" si="261"/>
        <v>3883.8993034415344</v>
      </c>
      <c r="M631" s="306">
        <f t="shared" ca="1" si="277"/>
        <v>-0.88331757617033524</v>
      </c>
      <c r="N631" s="304">
        <f t="shared" ca="1" si="278"/>
        <v>-50.610369084285828</v>
      </c>
      <c r="P631" s="310">
        <f t="shared" ca="1" si="279"/>
        <v>23</v>
      </c>
      <c r="Q631" s="304">
        <f t="shared" ca="1" si="280"/>
        <v>0</v>
      </c>
      <c r="R631" s="306">
        <f t="shared" ca="1" si="281"/>
        <v>0</v>
      </c>
      <c r="S631" s="307">
        <f t="shared" ca="1" si="282"/>
        <v>5.6519999999999806</v>
      </c>
      <c r="T631" s="304">
        <f t="shared" ca="1" si="262"/>
        <v>55.446119999999816</v>
      </c>
      <c r="U631" s="311">
        <f t="shared" ca="1" si="263"/>
        <v>0</v>
      </c>
      <c r="V631" s="306">
        <f t="shared" ca="1" si="264"/>
        <v>0.83590990233977558</v>
      </c>
      <c r="W631" s="304">
        <f t="shared" ca="1" si="265"/>
        <v>2.1002911164857641</v>
      </c>
      <c r="Y631" s="314" t="str">
        <f t="shared" ca="1" si="283"/>
        <v/>
      </c>
      <c r="Z631" s="315" t="str">
        <f t="shared" ca="1" si="284"/>
        <v/>
      </c>
      <c r="AA631" s="316" t="str">
        <f t="shared" ca="1" si="285"/>
        <v/>
      </c>
      <c r="AC631" s="310" t="e">
        <f t="shared" ca="1" si="286"/>
        <v>#N/A</v>
      </c>
      <c r="AD631" s="323" t="e">
        <f t="shared" ca="1" si="287"/>
        <v>#N/A</v>
      </c>
      <c r="AE631" s="324" t="e">
        <f t="shared" ca="1" si="266"/>
        <v>#N/A</v>
      </c>
      <c r="AG631" s="306">
        <f t="shared" ca="1" si="288"/>
        <v>7.121265131031711</v>
      </c>
      <c r="AH631" s="304">
        <f t="shared" ca="1" si="289"/>
        <v>-0.35793364055004656</v>
      </c>
    </row>
    <row r="632" spans="1:34" x14ac:dyDescent="0.2">
      <c r="A632" s="347">
        <f t="shared" ca="1" si="267"/>
        <v>0.1</v>
      </c>
      <c r="B632" s="304">
        <f t="shared" ca="1" si="268"/>
        <v>30.800000000000097</v>
      </c>
      <c r="D632" s="306">
        <f t="shared" ca="1" si="269"/>
        <v>-0.23581477720939525</v>
      </c>
      <c r="E632" s="307">
        <f t="shared" ca="1" si="270"/>
        <v>-9.5228084405552647</v>
      </c>
      <c r="F632" s="304">
        <f t="shared" ca="1" si="271"/>
        <v>9.5257277519704964</v>
      </c>
      <c r="G632" s="306">
        <f t="shared" ca="1" si="272"/>
        <v>24.699161560061977</v>
      </c>
      <c r="H632" s="307">
        <f t="shared" ca="1" si="273"/>
        <v>-31.061348692961641</v>
      </c>
      <c r="I632" s="304">
        <f t="shared" ca="1" si="274"/>
        <v>39.684454946437064</v>
      </c>
      <c r="J632" s="306">
        <f t="shared" ca="1" si="275"/>
        <v>911.98090313264674</v>
      </c>
      <c r="K632" s="307">
        <f t="shared" ca="1" si="276"/>
        <v>3772.8474245855214</v>
      </c>
      <c r="L632" s="304">
        <f t="shared" ca="1" si="261"/>
        <v>3881.5057460836301</v>
      </c>
      <c r="M632" s="306">
        <f t="shared" ca="1" si="277"/>
        <v>-0.89900530506668175</v>
      </c>
      <c r="N632" s="304">
        <f t="shared" ca="1" si="278"/>
        <v>-51.509209740191906</v>
      </c>
      <c r="P632" s="310">
        <f t="shared" ca="1" si="279"/>
        <v>23</v>
      </c>
      <c r="Q632" s="304">
        <f t="shared" ca="1" si="280"/>
        <v>0</v>
      </c>
      <c r="R632" s="306">
        <f t="shared" ca="1" si="281"/>
        <v>0</v>
      </c>
      <c r="S632" s="307">
        <f t="shared" ca="1" si="282"/>
        <v>5.6519999999999806</v>
      </c>
      <c r="T632" s="304">
        <f t="shared" ca="1" si="262"/>
        <v>55.446119999999816</v>
      </c>
      <c r="U632" s="311">
        <f t="shared" ca="1" si="263"/>
        <v>0</v>
      </c>
      <c r="V632" s="306">
        <f t="shared" ca="1" si="264"/>
        <v>0.83617505088283772</v>
      </c>
      <c r="W632" s="304">
        <f t="shared" ca="1" si="265"/>
        <v>2.1799779899002636</v>
      </c>
      <c r="Y632" s="314" t="str">
        <f t="shared" ca="1" si="283"/>
        <v/>
      </c>
      <c r="Z632" s="315" t="str">
        <f t="shared" ca="1" si="284"/>
        <v/>
      </c>
      <c r="AA632" s="316" t="str">
        <f t="shared" ca="1" si="285"/>
        <v/>
      </c>
      <c r="AC632" s="310" t="e">
        <f t="shared" ca="1" si="286"/>
        <v>#N/A</v>
      </c>
      <c r="AD632" s="323" t="e">
        <f t="shared" ca="1" si="287"/>
        <v>#N/A</v>
      </c>
      <c r="AE632" s="324" t="e">
        <f t="shared" ca="1" si="266"/>
        <v>#N/A</v>
      </c>
      <c r="AG632" s="306">
        <f t="shared" ca="1" si="288"/>
        <v>7.210041707282171</v>
      </c>
      <c r="AH632" s="304">
        <f t="shared" ca="1" si="289"/>
        <v>-0.37160140065211805</v>
      </c>
    </row>
    <row r="633" spans="1:34" x14ac:dyDescent="0.2">
      <c r="A633" s="347">
        <f t="shared" ca="1" si="267"/>
        <v>0.1</v>
      </c>
      <c r="B633" s="304">
        <f t="shared" ca="1" si="268"/>
        <v>30.900000000000098</v>
      </c>
      <c r="D633" s="306">
        <f t="shared" ca="1" si="269"/>
        <v>-0.24005554755422759</v>
      </c>
      <c r="E633" s="307">
        <f t="shared" ca="1" si="270"/>
        <v>-9.5081092232572537</v>
      </c>
      <c r="F633" s="304">
        <f t="shared" ca="1" si="271"/>
        <v>9.5111391361551014</v>
      </c>
      <c r="G633" s="306">
        <f t="shared" ca="1" si="272"/>
        <v>24.675156005306555</v>
      </c>
      <c r="H633" s="307">
        <f t="shared" ca="1" si="273"/>
        <v>-32.012159615287366</v>
      </c>
      <c r="I633" s="304">
        <f t="shared" ca="1" si="274"/>
        <v>40.418333552001521</v>
      </c>
      <c r="J633" s="306">
        <f t="shared" ca="1" si="275"/>
        <v>914.44961901091517</v>
      </c>
      <c r="K633" s="307">
        <f t="shared" ca="1" si="276"/>
        <v>3769.6937491701087</v>
      </c>
      <c r="L633" s="304">
        <f t="shared" ca="1" si="261"/>
        <v>3879.0216638015054</v>
      </c>
      <c r="M633" s="306">
        <f t="shared" ca="1" si="277"/>
        <v>-0.91411198102376079</v>
      </c>
      <c r="N633" s="304">
        <f t="shared" ca="1" si="278"/>
        <v>-52.374758515004288</v>
      </c>
      <c r="P633" s="310">
        <f t="shared" ca="1" si="279"/>
        <v>23</v>
      </c>
      <c r="Q633" s="304">
        <f t="shared" ca="1" si="280"/>
        <v>0</v>
      </c>
      <c r="R633" s="306">
        <f t="shared" ca="1" si="281"/>
        <v>0</v>
      </c>
      <c r="S633" s="307">
        <f t="shared" ca="1" si="282"/>
        <v>5.6519999999999806</v>
      </c>
      <c r="T633" s="304">
        <f t="shared" ca="1" si="262"/>
        <v>55.446119999999816</v>
      </c>
      <c r="U633" s="311">
        <f t="shared" ca="1" si="263"/>
        <v>0</v>
      </c>
      <c r="V633" s="306">
        <f t="shared" ca="1" si="264"/>
        <v>0.83644851999663561</v>
      </c>
      <c r="W633" s="304">
        <f t="shared" ca="1" si="265"/>
        <v>2.2620910849749656</v>
      </c>
      <c r="Y633" s="314" t="str">
        <f t="shared" ca="1" si="283"/>
        <v/>
      </c>
      <c r="Z633" s="315" t="str">
        <f t="shared" ca="1" si="284"/>
        <v/>
      </c>
      <c r="AA633" s="316" t="str">
        <f t="shared" ca="1" si="285"/>
        <v/>
      </c>
      <c r="AC633" s="310" t="e">
        <f t="shared" ca="1" si="286"/>
        <v>#N/A</v>
      </c>
      <c r="AD633" s="323" t="e">
        <f t="shared" ca="1" si="287"/>
        <v>#N/A</v>
      </c>
      <c r="AE633" s="324" t="e">
        <f t="shared" ca="1" si="266"/>
        <v>#N/A</v>
      </c>
      <c r="AG633" s="306">
        <f t="shared" ca="1" si="288"/>
        <v>7.2926672580622292</v>
      </c>
      <c r="AH633" s="304">
        <f t="shared" ca="1" si="289"/>
        <v>-0.38570028129870332</v>
      </c>
    </row>
    <row r="634" spans="1:34" x14ac:dyDescent="0.2">
      <c r="A634" s="347">
        <f t="shared" ca="1" si="267"/>
        <v>0.1</v>
      </c>
      <c r="B634" s="304">
        <f t="shared" ca="1" si="268"/>
        <v>31.000000000000099</v>
      </c>
      <c r="D634" s="306">
        <f t="shared" ca="1" si="269"/>
        <v>-0.24433711323739632</v>
      </c>
      <c r="E634" s="307">
        <f t="shared" ca="1" si="270"/>
        <v>-9.4930107713518836</v>
      </c>
      <c r="F634" s="304">
        <f t="shared" ca="1" si="271"/>
        <v>9.4961547022944011</v>
      </c>
      <c r="G634" s="306">
        <f t="shared" ca="1" si="272"/>
        <v>24.650722293982813</v>
      </c>
      <c r="H634" s="307">
        <f t="shared" ca="1" si="273"/>
        <v>-32.961460692422555</v>
      </c>
      <c r="I634" s="304">
        <f t="shared" ca="1" si="274"/>
        <v>41.159640433234813</v>
      </c>
      <c r="J634" s="306">
        <f t="shared" ca="1" si="275"/>
        <v>916.91591292587964</v>
      </c>
      <c r="K634" s="307">
        <f t="shared" ca="1" si="276"/>
        <v>3766.4450681547232</v>
      </c>
      <c r="L634" s="304">
        <f t="shared" ca="1" si="261"/>
        <v>3876.4472449401055</v>
      </c>
      <c r="M634" s="306">
        <f t="shared" ca="1" si="277"/>
        <v>-0.92866302873148254</v>
      </c>
      <c r="N634" s="304">
        <f t="shared" ca="1" si="278"/>
        <v>-53.208472136150256</v>
      </c>
      <c r="P634" s="310">
        <f t="shared" ca="1" si="279"/>
        <v>23</v>
      </c>
      <c r="Q634" s="304">
        <f t="shared" ca="1" si="280"/>
        <v>0</v>
      </c>
      <c r="R634" s="306">
        <f t="shared" ca="1" si="281"/>
        <v>0</v>
      </c>
      <c r="S634" s="307">
        <f t="shared" ca="1" si="282"/>
        <v>5.6519999999999806</v>
      </c>
      <c r="T634" s="304">
        <f t="shared" ca="1" si="262"/>
        <v>55.446119999999816</v>
      </c>
      <c r="U634" s="311">
        <f t="shared" ca="1" si="263"/>
        <v>0</v>
      </c>
      <c r="V634" s="306">
        <f t="shared" ca="1" si="264"/>
        <v>0.83673030335346077</v>
      </c>
      <c r="W634" s="304">
        <f t="shared" ca="1" si="265"/>
        <v>2.3466196665569288</v>
      </c>
      <c r="Y634" s="314" t="str">
        <f t="shared" ca="1" si="283"/>
        <v/>
      </c>
      <c r="Z634" s="315" t="str">
        <f t="shared" ca="1" si="284"/>
        <v/>
      </c>
      <c r="AA634" s="316" t="str">
        <f t="shared" ca="1" si="285"/>
        <v/>
      </c>
      <c r="AC634" s="310">
        <f t="shared" ca="1" si="286"/>
        <v>31.000000000000099</v>
      </c>
      <c r="AD634" s="323">
        <f t="shared" ca="1" si="287"/>
        <v>916.91591292587964</v>
      </c>
      <c r="AE634" s="324" t="e">
        <f t="shared" ca="1" si="266"/>
        <v>#N/A</v>
      </c>
      <c r="AG634" s="306">
        <f t="shared" ca="1" si="288"/>
        <v>7.3694953126138865</v>
      </c>
      <c r="AH634" s="304">
        <f t="shared" ca="1" si="289"/>
        <v>-0.40022842975494927</v>
      </c>
    </row>
    <row r="635" spans="1:34" x14ac:dyDescent="0.2">
      <c r="A635" s="347">
        <f t="shared" ca="1" si="267"/>
        <v>0.1</v>
      </c>
      <c r="B635" s="304">
        <f t="shared" ca="1" si="268"/>
        <v>31.100000000000101</v>
      </c>
      <c r="D635" s="306">
        <f t="shared" ca="1" si="269"/>
        <v>-0.24865582066461347</v>
      </c>
      <c r="E635" s="307">
        <f t="shared" ca="1" si="270"/>
        <v>-9.4775124176471142</v>
      </c>
      <c r="F635" s="304">
        <f t="shared" ca="1" si="271"/>
        <v>9.4807737734746969</v>
      </c>
      <c r="G635" s="306">
        <f t="shared" ca="1" si="272"/>
        <v>24.625856711916352</v>
      </c>
      <c r="H635" s="307">
        <f t="shared" ca="1" si="273"/>
        <v>-33.909211934187269</v>
      </c>
      <c r="I635" s="304">
        <f t="shared" ca="1" si="274"/>
        <v>41.907845002976039</v>
      </c>
      <c r="J635" s="306">
        <f t="shared" ca="1" si="275"/>
        <v>919.37974187617465</v>
      </c>
      <c r="K635" s="307">
        <f t="shared" ca="1" si="276"/>
        <v>3763.1015345233927</v>
      </c>
      <c r="L635" s="304">
        <f t="shared" ca="1" si="261"/>
        <v>3873.7826821989661</v>
      </c>
      <c r="M635" s="306">
        <f t="shared" ca="1" si="277"/>
        <v>-0.94268296317279365</v>
      </c>
      <c r="N635" s="304">
        <f t="shared" ca="1" si="278"/>
        <v>-54.011755208687489</v>
      </c>
      <c r="P635" s="310">
        <f t="shared" ca="1" si="279"/>
        <v>23</v>
      </c>
      <c r="Q635" s="304">
        <f t="shared" ca="1" si="280"/>
        <v>0</v>
      </c>
      <c r="R635" s="306">
        <f t="shared" ca="1" si="281"/>
        <v>0</v>
      </c>
      <c r="S635" s="307">
        <f t="shared" ca="1" si="282"/>
        <v>5.6519999999999806</v>
      </c>
      <c r="T635" s="304">
        <f t="shared" ca="1" si="262"/>
        <v>55.446119999999816</v>
      </c>
      <c r="U635" s="311">
        <f t="shared" ca="1" si="263"/>
        <v>0</v>
      </c>
      <c r="V635" s="306">
        <f t="shared" ca="1" si="264"/>
        <v>0.83702039446795529</v>
      </c>
      <c r="W635" s="304">
        <f t="shared" ca="1" si="265"/>
        <v>2.433552735260224</v>
      </c>
      <c r="Y635" s="314" t="str">
        <f t="shared" ca="1" si="283"/>
        <v/>
      </c>
      <c r="Z635" s="315" t="str">
        <f t="shared" ca="1" si="284"/>
        <v/>
      </c>
      <c r="AA635" s="316" t="str">
        <f t="shared" ca="1" si="285"/>
        <v/>
      </c>
      <c r="AC635" s="310" t="e">
        <f t="shared" ca="1" si="286"/>
        <v>#N/A</v>
      </c>
      <c r="AD635" s="323" t="e">
        <f t="shared" ca="1" si="287"/>
        <v>#N/A</v>
      </c>
      <c r="AE635" s="324" t="e">
        <f t="shared" ca="1" si="266"/>
        <v>#N/A</v>
      </c>
      <c r="AG635" s="306">
        <f t="shared" ca="1" si="288"/>
        <v>7.4408596433447132</v>
      </c>
      <c r="AH635" s="304">
        <f t="shared" ca="1" si="289"/>
        <v>-0.41518394666612468</v>
      </c>
    </row>
    <row r="636" spans="1:34" x14ac:dyDescent="0.2">
      <c r="A636" s="347">
        <f t="shared" ca="1" si="267"/>
        <v>0.1</v>
      </c>
      <c r="B636" s="304">
        <f t="shared" ca="1" si="268"/>
        <v>31.200000000000102</v>
      </c>
      <c r="D636" s="306">
        <f t="shared" ca="1" si="269"/>
        <v>-0.25300821803821116</v>
      </c>
      <c r="E636" s="307">
        <f t="shared" ca="1" si="270"/>
        <v>-9.4616137738104662</v>
      </c>
      <c r="F636" s="304">
        <f t="shared" ca="1" si="271"/>
        <v>9.464995951565685</v>
      </c>
      <c r="G636" s="306">
        <f t="shared" ca="1" si="272"/>
        <v>24.600555890112531</v>
      </c>
      <c r="H636" s="307">
        <f t="shared" ca="1" si="273"/>
        <v>-34.855373311568314</v>
      </c>
      <c r="I636" s="304">
        <f t="shared" ca="1" si="274"/>
        <v>42.662447173027232</v>
      </c>
      <c r="J636" s="306">
        <f t="shared" ca="1" si="275"/>
        <v>921.8410625062761</v>
      </c>
      <c r="K636" s="307">
        <f t="shared" ca="1" si="276"/>
        <v>3759.6633052611051</v>
      </c>
      <c r="L636" s="304">
        <f t="shared" ca="1" si="261"/>
        <v>3871.0281726499429</v>
      </c>
      <c r="M636" s="306">
        <f t="shared" ca="1" si="277"/>
        <v>-0.95619536274066641</v>
      </c>
      <c r="N636" s="304">
        <f t="shared" ca="1" si="278"/>
        <v>-54.785958675020993</v>
      </c>
      <c r="P636" s="310">
        <f t="shared" ca="1" si="279"/>
        <v>23</v>
      </c>
      <c r="Q636" s="304">
        <f t="shared" ca="1" si="280"/>
        <v>0</v>
      </c>
      <c r="R636" s="306">
        <f t="shared" ca="1" si="281"/>
        <v>0</v>
      </c>
      <c r="S636" s="307">
        <f t="shared" ca="1" si="282"/>
        <v>5.6519999999999806</v>
      </c>
      <c r="T636" s="304">
        <f t="shared" ca="1" si="262"/>
        <v>55.446119999999816</v>
      </c>
      <c r="U636" s="311">
        <f t="shared" ca="1" si="263"/>
        <v>0</v>
      </c>
      <c r="V636" s="306">
        <f t="shared" ca="1" si="264"/>
        <v>0.83731878669551363</v>
      </c>
      <c r="W636" s="304">
        <f t="shared" ca="1" si="265"/>
        <v>2.5228790270456853</v>
      </c>
      <c r="Y636" s="314" t="str">
        <f t="shared" ca="1" si="283"/>
        <v/>
      </c>
      <c r="Z636" s="315" t="str">
        <f t="shared" ca="1" si="284"/>
        <v/>
      </c>
      <c r="AA636" s="316" t="str">
        <f t="shared" ca="1" si="285"/>
        <v/>
      </c>
      <c r="AC636" s="310" t="e">
        <f t="shared" ca="1" si="286"/>
        <v>#N/A</v>
      </c>
      <c r="AD636" s="323" t="e">
        <f t="shared" ca="1" si="287"/>
        <v>#N/A</v>
      </c>
      <c r="AE636" s="324" t="e">
        <f t="shared" ca="1" si="266"/>
        <v>#N/A</v>
      </c>
      <c r="AG636" s="306">
        <f t="shared" ca="1" si="288"/>
        <v>7.5070746908813097</v>
      </c>
      <c r="AH636" s="304">
        <f t="shared" ca="1" si="289"/>
        <v>-0.43056488592714653</v>
      </c>
    </row>
    <row r="637" spans="1:34" x14ac:dyDescent="0.2">
      <c r="A637" s="347">
        <f t="shared" ca="1" si="267"/>
        <v>0.1</v>
      </c>
      <c r="B637" s="304">
        <f t="shared" ca="1" si="268"/>
        <v>31.300000000000104</v>
      </c>
      <c r="D637" s="306">
        <f t="shared" ca="1" si="269"/>
        <v>-0.25739104348800901</v>
      </c>
      <c r="E637" s="307">
        <f t="shared" ca="1" si="270"/>
        <v>-9.4453147080129813</v>
      </c>
      <c r="F637" s="304">
        <f t="shared" ca="1" si="271"/>
        <v>9.4488210948601523</v>
      </c>
      <c r="G637" s="306">
        <f t="shared" ca="1" si="272"/>
        <v>24.57481678576373</v>
      </c>
      <c r="H637" s="307">
        <f t="shared" ca="1" si="273"/>
        <v>-35.799904782369616</v>
      </c>
      <c r="I637" s="304">
        <f t="shared" ca="1" si="274"/>
        <v>43.422975513898002</v>
      </c>
      <c r="J637" s="306">
        <f t="shared" ca="1" si="275"/>
        <v>924.29983114006995</v>
      </c>
      <c r="K637" s="307">
        <f t="shared" ca="1" si="276"/>
        <v>3756.1305413564082</v>
      </c>
      <c r="L637" s="304">
        <f t="shared" ca="1" si="261"/>
        <v>3868.1839177520951</v>
      </c>
      <c r="M637" s="306">
        <f t="shared" ca="1" si="277"/>
        <v>-0.96922285636981331</v>
      </c>
      <c r="N637" s="304">
        <f t="shared" ca="1" si="278"/>
        <v>-55.532379077604681</v>
      </c>
      <c r="P637" s="310">
        <f t="shared" ca="1" si="279"/>
        <v>23</v>
      </c>
      <c r="Q637" s="304">
        <f t="shared" ca="1" si="280"/>
        <v>0</v>
      </c>
      <c r="R637" s="306">
        <f t="shared" ca="1" si="281"/>
        <v>0</v>
      </c>
      <c r="S637" s="307">
        <f t="shared" ca="1" si="282"/>
        <v>5.6519999999999806</v>
      </c>
      <c r="T637" s="304">
        <f t="shared" ca="1" si="262"/>
        <v>55.446119999999816</v>
      </c>
      <c r="U637" s="311">
        <f t="shared" ca="1" si="263"/>
        <v>0</v>
      </c>
      <c r="V637" s="306">
        <f t="shared" ca="1" si="264"/>
        <v>0.83762547323088754</v>
      </c>
      <c r="W637" s="304">
        <f t="shared" ca="1" si="265"/>
        <v>2.6145870130925051</v>
      </c>
      <c r="Y637" s="314" t="str">
        <f t="shared" ca="1" si="283"/>
        <v/>
      </c>
      <c r="Z637" s="315" t="str">
        <f t="shared" ca="1" si="284"/>
        <v/>
      </c>
      <c r="AA637" s="316" t="str">
        <f t="shared" ca="1" si="285"/>
        <v/>
      </c>
      <c r="AC637" s="310" t="e">
        <f t="shared" ca="1" si="286"/>
        <v>#N/A</v>
      </c>
      <c r="AD637" s="323" t="e">
        <f t="shared" ca="1" si="287"/>
        <v>#N/A</v>
      </c>
      <c r="AE637" s="324" t="e">
        <f t="shared" ca="1" si="266"/>
        <v>#N/A</v>
      </c>
      <c r="AG637" s="306">
        <f t="shared" ca="1" si="288"/>
        <v>7.5684361502412818</v>
      </c>
      <c r="AH637" s="304">
        <f t="shared" ca="1" si="289"/>
        <v>-0.44636925460822613</v>
      </c>
    </row>
    <row r="638" spans="1:34" x14ac:dyDescent="0.2">
      <c r="A638" s="347">
        <f t="shared" ca="1" si="267"/>
        <v>0.1</v>
      </c>
      <c r="B638" s="304">
        <f t="shared" ca="1" si="268"/>
        <v>31.400000000000105</v>
      </c>
      <c r="D638" s="306">
        <f t="shared" ca="1" si="269"/>
        <v>-0.26180121362657621</v>
      </c>
      <c r="E638" s="307">
        <f t="shared" ca="1" si="270"/>
        <v>-9.428615324726664</v>
      </c>
      <c r="F638" s="304">
        <f t="shared" ca="1" si="271"/>
        <v>9.4322492978677595</v>
      </c>
      <c r="G638" s="306">
        <f t="shared" ca="1" si="272"/>
        <v>24.548636664401073</v>
      </c>
      <c r="H638" s="307">
        <f t="shared" ca="1" si="273"/>
        <v>-36.742766314842285</v>
      </c>
      <c r="I638" s="304">
        <f t="shared" ca="1" si="274"/>
        <v>44.188985489009426</v>
      </c>
      <c r="J638" s="306">
        <f t="shared" ca="1" si="275"/>
        <v>926.75600381257823</v>
      </c>
      <c r="K638" s="307">
        <f t="shared" ca="1" si="276"/>
        <v>3752.5034078015478</v>
      </c>
      <c r="L638" s="304">
        <f t="shared" ca="1" si="261"/>
        <v>3865.2501233639318</v>
      </c>
      <c r="M638" s="306">
        <f t="shared" ca="1" si="277"/>
        <v>-0.98178712206546559</v>
      </c>
      <c r="N638" s="304">
        <f t="shared" ca="1" si="278"/>
        <v>-56.25225847464656</v>
      </c>
      <c r="P638" s="310">
        <f t="shared" ca="1" si="279"/>
        <v>23</v>
      </c>
      <c r="Q638" s="304">
        <f t="shared" ca="1" si="280"/>
        <v>0</v>
      </c>
      <c r="R638" s="306">
        <f t="shared" ca="1" si="281"/>
        <v>0</v>
      </c>
      <c r="S638" s="307">
        <f t="shared" ca="1" si="282"/>
        <v>5.6519999999999806</v>
      </c>
      <c r="T638" s="304">
        <f t="shared" ca="1" si="262"/>
        <v>55.446119999999816</v>
      </c>
      <c r="U638" s="311">
        <f t="shared" ca="1" si="263"/>
        <v>0</v>
      </c>
      <c r="V638" s="306">
        <f t="shared" ca="1" si="264"/>
        <v>0.83794044710697191</v>
      </c>
      <c r="W638" s="304">
        <f t="shared" ca="1" si="265"/>
        <v>2.7086648999386629</v>
      </c>
      <c r="Y638" s="314" t="str">
        <f t="shared" ca="1" si="283"/>
        <v/>
      </c>
      <c r="Z638" s="315" t="str">
        <f t="shared" ca="1" si="284"/>
        <v/>
      </c>
      <c r="AA638" s="316" t="str">
        <f t="shared" ca="1" si="285"/>
        <v/>
      </c>
      <c r="AC638" s="310" t="e">
        <f t="shared" ca="1" si="286"/>
        <v>#N/A</v>
      </c>
      <c r="AD638" s="323" t="e">
        <f t="shared" ca="1" si="287"/>
        <v>#N/A</v>
      </c>
      <c r="AE638" s="324" t="e">
        <f t="shared" ca="1" si="266"/>
        <v>#N/A</v>
      </c>
      <c r="AG638" s="306">
        <f t="shared" ca="1" si="288"/>
        <v>7.6252216730211524</v>
      </c>
      <c r="AH638" s="304">
        <f t="shared" ca="1" si="289"/>
        <v>-0.46259501293215038</v>
      </c>
    </row>
    <row r="639" spans="1:34" x14ac:dyDescent="0.2">
      <c r="A639" s="347">
        <f t="shared" ca="1" si="267"/>
        <v>0.1</v>
      </c>
      <c r="B639" s="304">
        <f t="shared" ca="1" si="268"/>
        <v>31.500000000000107</v>
      </c>
      <c r="D639" s="306">
        <f t="shared" ca="1" si="269"/>
        <v>-0.26623581258537732</v>
      </c>
      <c r="E639" s="307">
        <f t="shared" ca="1" si="270"/>
        <v>-9.4115159464781097</v>
      </c>
      <c r="F639" s="304">
        <f t="shared" ca="1" si="271"/>
        <v>9.4152808730655906</v>
      </c>
      <c r="G639" s="306">
        <f t="shared" ca="1" si="272"/>
        <v>24.522013083142536</v>
      </c>
      <c r="H639" s="307">
        <f t="shared" ca="1" si="273"/>
        <v>-37.683917909490098</v>
      </c>
      <c r="I639" s="304">
        <f t="shared" ca="1" si="274"/>
        <v>44.960057769747166</v>
      </c>
      <c r="J639" s="306">
        <f t="shared" ca="1" si="275"/>
        <v>929.2095362999554</v>
      </c>
      <c r="K639" s="307">
        <f t="shared" ca="1" si="276"/>
        <v>3748.782073590331</v>
      </c>
      <c r="L639" s="304">
        <f t="shared" ca="1" si="261"/>
        <v>3862.2269997532512</v>
      </c>
      <c r="M639" s="306">
        <f t="shared" ca="1" si="277"/>
        <v>-0.99390889458555864</v>
      </c>
      <c r="N639" s="304">
        <f t="shared" ca="1" si="278"/>
        <v>-56.946784880265547</v>
      </c>
      <c r="P639" s="310">
        <f t="shared" ca="1" si="279"/>
        <v>23</v>
      </c>
      <c r="Q639" s="304">
        <f t="shared" ca="1" si="280"/>
        <v>0</v>
      </c>
      <c r="R639" s="306">
        <f t="shared" ca="1" si="281"/>
        <v>0</v>
      </c>
      <c r="S639" s="307">
        <f t="shared" ca="1" si="282"/>
        <v>5.6519999999999806</v>
      </c>
      <c r="T639" s="304">
        <f t="shared" ca="1" si="262"/>
        <v>55.446119999999816</v>
      </c>
      <c r="U639" s="311">
        <f t="shared" ca="1" si="263"/>
        <v>0</v>
      </c>
      <c r="V639" s="306">
        <f t="shared" ca="1" si="264"/>
        <v>0.83826370119375992</v>
      </c>
      <c r="W639" s="304">
        <f t="shared" ca="1" si="265"/>
        <v>2.8051006298694481</v>
      </c>
      <c r="Y639" s="314" t="str">
        <f t="shared" ca="1" si="283"/>
        <v/>
      </c>
      <c r="Z639" s="315" t="str">
        <f t="shared" ca="1" si="284"/>
        <v/>
      </c>
      <c r="AA639" s="316" t="str">
        <f t="shared" ca="1" si="285"/>
        <v/>
      </c>
      <c r="AC639" s="310" t="e">
        <f t="shared" ca="1" si="286"/>
        <v>#N/A</v>
      </c>
      <c r="AD639" s="323" t="e">
        <f t="shared" ca="1" si="287"/>
        <v>#N/A</v>
      </c>
      <c r="AE639" s="324" t="e">
        <f t="shared" ca="1" si="266"/>
        <v>#N/A</v>
      </c>
      <c r="AG639" s="306">
        <f t="shared" ca="1" si="288"/>
        <v>7.6776916488392599</v>
      </c>
      <c r="AH639" s="304">
        <f t="shared" ca="1" si="289"/>
        <v>-0.47924007429912813</v>
      </c>
    </row>
    <row r="640" spans="1:34" x14ac:dyDescent="0.2">
      <c r="A640" s="347">
        <f t="shared" ca="1" si="267"/>
        <v>0.1</v>
      </c>
      <c r="B640" s="304">
        <f t="shared" ca="1" si="268"/>
        <v>31.600000000000108</v>
      </c>
      <c r="D640" s="306">
        <f t="shared" ca="1" si="269"/>
        <v>-0.2706920815682608</v>
      </c>
      <c r="E640" s="307">
        <f t="shared" ca="1" si="270"/>
        <v>-9.3940170973736343</v>
      </c>
      <c r="F640" s="304">
        <f t="shared" ca="1" si="271"/>
        <v>9.3979163344207279</v>
      </c>
      <c r="G640" s="306">
        <f t="shared" ca="1" si="272"/>
        <v>24.494943874985708</v>
      </c>
      <c r="H640" s="307">
        <f t="shared" ca="1" si="273"/>
        <v>-38.623319619227459</v>
      </c>
      <c r="I640" s="304">
        <f t="shared" ca="1" si="274"/>
        <v>45.735796635105203</v>
      </c>
      <c r="J640" s="306">
        <f t="shared" ca="1" si="275"/>
        <v>931.66038414786181</v>
      </c>
      <c r="K640" s="307">
        <f t="shared" ca="1" si="276"/>
        <v>3744.9667117138952</v>
      </c>
      <c r="L640" s="304">
        <f t="shared" ca="1" si="261"/>
        <v>3859.1147616047551</v>
      </c>
      <c r="M640" s="306">
        <f t="shared" ca="1" si="277"/>
        <v>-1.0056079803678515</v>
      </c>
      <c r="N640" s="304">
        <f t="shared" ca="1" si="278"/>
        <v>-57.617093119752433</v>
      </c>
      <c r="P640" s="310">
        <f t="shared" ca="1" si="279"/>
        <v>23</v>
      </c>
      <c r="Q640" s="304">
        <f t="shared" ca="1" si="280"/>
        <v>0</v>
      </c>
      <c r="R640" s="306">
        <f t="shared" ca="1" si="281"/>
        <v>0</v>
      </c>
      <c r="S640" s="307">
        <f t="shared" ca="1" si="282"/>
        <v>5.6519999999999806</v>
      </c>
      <c r="T640" s="304">
        <f t="shared" ca="1" si="262"/>
        <v>55.446119999999816</v>
      </c>
      <c r="U640" s="311">
        <f t="shared" ca="1" si="263"/>
        <v>0</v>
      </c>
      <c r="V640" s="306">
        <f t="shared" ca="1" si="264"/>
        <v>0.83859522819744625</v>
      </c>
      <c r="W640" s="304">
        <f t="shared" ca="1" si="265"/>
        <v>2.9038818815353182</v>
      </c>
      <c r="Y640" s="314" t="str">
        <f t="shared" ca="1" si="283"/>
        <v/>
      </c>
      <c r="Z640" s="315" t="str">
        <f t="shared" ca="1" si="284"/>
        <v/>
      </c>
      <c r="AA640" s="316" t="str">
        <f t="shared" ca="1" si="285"/>
        <v/>
      </c>
      <c r="AC640" s="310" t="e">
        <f t="shared" ca="1" si="286"/>
        <v>#N/A</v>
      </c>
      <c r="AD640" s="323" t="e">
        <f t="shared" ca="1" si="287"/>
        <v>#N/A</v>
      </c>
      <c r="AE640" s="324" t="e">
        <f t="shared" ca="1" si="266"/>
        <v>#N/A</v>
      </c>
      <c r="AG640" s="306">
        <f t="shared" ca="1" si="288"/>
        <v>7.7260900364276379</v>
      </c>
      <c r="AH640" s="304">
        <f t="shared" ca="1" si="289"/>
        <v>-0.49630230535553038</v>
      </c>
    </row>
    <row r="641" spans="1:34" x14ac:dyDescent="0.2">
      <c r="A641" s="347">
        <f t="shared" ca="1" si="267"/>
        <v>0.1</v>
      </c>
      <c r="B641" s="304">
        <f t="shared" ca="1" si="268"/>
        <v>31.700000000000109</v>
      </c>
      <c r="D641" s="306">
        <f t="shared" ca="1" si="269"/>
        <v>-0.27516740894275826</v>
      </c>
      <c r="E641" s="307">
        <f t="shared" ca="1" si="270"/>
        <v>-9.3761194882245054</v>
      </c>
      <c r="F641" s="304">
        <f t="shared" ca="1" si="271"/>
        <v>9.3801563825134391</v>
      </c>
      <c r="G641" s="306">
        <f t="shared" ca="1" si="272"/>
        <v>24.467427134091434</v>
      </c>
      <c r="H641" s="307">
        <f t="shared" ca="1" si="273"/>
        <v>-39.560931568049909</v>
      </c>
      <c r="I641" s="304">
        <f t="shared" ca="1" si="274"/>
        <v>46.515828457569164</v>
      </c>
      <c r="J641" s="306">
        <f t="shared" ca="1" si="275"/>
        <v>934.10850269831565</v>
      </c>
      <c r="K641" s="307">
        <f t="shared" ca="1" si="276"/>
        <v>3741.0574991545313</v>
      </c>
      <c r="L641" s="304">
        <f t="shared" ca="1" si="261"/>
        <v>3855.913628025613</v>
      </c>
      <c r="M641" s="306">
        <f t="shared" ca="1" si="277"/>
        <v>-1.01690327809027</v>
      </c>
      <c r="N641" s="304">
        <f t="shared" ca="1" si="278"/>
        <v>-58.264266007590749</v>
      </c>
      <c r="P641" s="310">
        <f t="shared" ca="1" si="279"/>
        <v>23</v>
      </c>
      <c r="Q641" s="304">
        <f t="shared" ca="1" si="280"/>
        <v>0</v>
      </c>
      <c r="R641" s="306">
        <f t="shared" ca="1" si="281"/>
        <v>0</v>
      </c>
      <c r="S641" s="307">
        <f t="shared" ca="1" si="282"/>
        <v>5.6519999999999806</v>
      </c>
      <c r="T641" s="304">
        <f t="shared" ca="1" si="262"/>
        <v>55.446119999999816</v>
      </c>
      <c r="U641" s="311">
        <f t="shared" ca="1" si="263"/>
        <v>0</v>
      </c>
      <c r="V641" s="306">
        <f t="shared" ca="1" si="264"/>
        <v>0.8389350206596734</v>
      </c>
      <c r="W641" s="304">
        <f t="shared" ca="1" si="265"/>
        <v>3.0049960707821723</v>
      </c>
      <c r="Y641" s="314" t="str">
        <f t="shared" ca="1" si="283"/>
        <v/>
      </c>
      <c r="Z641" s="315" t="str">
        <f t="shared" ca="1" si="284"/>
        <v/>
      </c>
      <c r="AA641" s="316" t="str">
        <f t="shared" ca="1" si="285"/>
        <v/>
      </c>
      <c r="AC641" s="310" t="e">
        <f t="shared" ca="1" si="286"/>
        <v>#N/A</v>
      </c>
      <c r="AD641" s="323" t="e">
        <f t="shared" ca="1" si="287"/>
        <v>#N/A</v>
      </c>
      <c r="AE641" s="324" t="e">
        <f t="shared" ca="1" si="266"/>
        <v>#N/A</v>
      </c>
      <c r="AG641" s="306">
        <f t="shared" ca="1" si="288"/>
        <v>7.7706452208311214</v>
      </c>
      <c r="AH641" s="304">
        <f t="shared" ca="1" si="289"/>
        <v>-0.51377952610320743</v>
      </c>
    </row>
    <row r="642" spans="1:34" x14ac:dyDescent="0.2">
      <c r="A642" s="347">
        <f t="shared" ca="1" si="267"/>
        <v>0.1</v>
      </c>
      <c r="B642" s="304">
        <f t="shared" ca="1" si="268"/>
        <v>31.800000000000111</v>
      </c>
      <c r="D642" s="306">
        <f t="shared" ca="1" si="269"/>
        <v>-0.27965932087707013</v>
      </c>
      <c r="E642" s="307">
        <f t="shared" ca="1" si="270"/>
        <v>-9.357824003114338</v>
      </c>
      <c r="F642" s="304">
        <f t="shared" ca="1" si="271"/>
        <v>9.3620018911030076</v>
      </c>
      <c r="G642" s="306">
        <f t="shared" ca="1" si="272"/>
        <v>24.439461202003727</v>
      </c>
      <c r="H642" s="307">
        <f t="shared" ca="1" si="273"/>
        <v>-40.496713968361341</v>
      </c>
      <c r="I642" s="304">
        <f t="shared" ca="1" si="274"/>
        <v>47.299800275260338</v>
      </c>
      <c r="J642" s="306">
        <f t="shared" ca="1" si="275"/>
        <v>936.55384711512045</v>
      </c>
      <c r="K642" s="307">
        <f t="shared" ca="1" si="276"/>
        <v>3737.0546168777109</v>
      </c>
      <c r="L642" s="304">
        <f t="shared" ca="1" si="261"/>
        <v>3852.6238225491402</v>
      </c>
      <c r="M642" s="306">
        <f t="shared" ca="1" si="277"/>
        <v>-1.0278128035128329</v>
      </c>
      <c r="N642" s="304">
        <f t="shared" ca="1" si="278"/>
        <v>-58.889335770794276</v>
      </c>
      <c r="P642" s="310">
        <f t="shared" ca="1" si="279"/>
        <v>23</v>
      </c>
      <c r="Q642" s="304">
        <f t="shared" ca="1" si="280"/>
        <v>0</v>
      </c>
      <c r="R642" s="306">
        <f t="shared" ca="1" si="281"/>
        <v>0</v>
      </c>
      <c r="S642" s="307">
        <f t="shared" ca="1" si="282"/>
        <v>5.6519999999999806</v>
      </c>
      <c r="T642" s="304">
        <f t="shared" ca="1" si="262"/>
        <v>55.446119999999816</v>
      </c>
      <c r="U642" s="311">
        <f t="shared" ca="1" si="263"/>
        <v>0</v>
      </c>
      <c r="V642" s="306">
        <f t="shared" ca="1" si="264"/>
        <v>0.8392830709569008</v>
      </c>
      <c r="W642" s="304">
        <f t="shared" ca="1" si="265"/>
        <v>3.1084303516786851</v>
      </c>
      <c r="Y642" s="314" t="str">
        <f t="shared" ca="1" si="283"/>
        <v/>
      </c>
      <c r="Z642" s="315" t="str">
        <f t="shared" ca="1" si="284"/>
        <v/>
      </c>
      <c r="AA642" s="316" t="str">
        <f t="shared" ca="1" si="285"/>
        <v/>
      </c>
      <c r="AC642" s="310" t="e">
        <f t="shared" ca="1" si="286"/>
        <v>#N/A</v>
      </c>
      <c r="AD642" s="323" t="e">
        <f t="shared" ca="1" si="287"/>
        <v>#N/A</v>
      </c>
      <c r="AE642" s="324" t="e">
        <f t="shared" ca="1" si="266"/>
        <v>#N/A</v>
      </c>
      <c r="AG642" s="306">
        <f t="shared" ca="1" si="288"/>
        <v>7.8115708782567088</v>
      </c>
      <c r="AH642" s="304">
        <f t="shared" ca="1" si="289"/>
        <v>-0.53166951004638763</v>
      </c>
    </row>
    <row r="643" spans="1:34" x14ac:dyDescent="0.2">
      <c r="A643" s="347">
        <f t="shared" ca="1" si="267"/>
        <v>0.1</v>
      </c>
      <c r="B643" s="304">
        <f t="shared" ca="1" si="268"/>
        <v>31.900000000000112</v>
      </c>
      <c r="D643" s="306">
        <f t="shared" ca="1" si="269"/>
        <v>-0.28416547252085322</v>
      </c>
      <c r="E643" s="307">
        <f t="shared" ca="1" si="270"/>
        <v>-9.3391316872641319</v>
      </c>
      <c r="F643" s="304">
        <f t="shared" ca="1" si="271"/>
        <v>9.3434538949916153</v>
      </c>
      <c r="G643" s="306">
        <f t="shared" ca="1" si="272"/>
        <v>24.411044654751642</v>
      </c>
      <c r="H643" s="307">
        <f t="shared" ca="1" si="273"/>
        <v>-41.430627137087754</v>
      </c>
      <c r="I643" s="304">
        <f t="shared" ca="1" si="274"/>
        <v>48.087378449117715</v>
      </c>
      <c r="J643" s="306">
        <f t="shared" ca="1" si="275"/>
        <v>938.99637240795823</v>
      </c>
      <c r="K643" s="307">
        <f t="shared" ca="1" si="276"/>
        <v>3732.9582498224386</v>
      </c>
      <c r="L643" s="304">
        <f t="shared" ca="1" si="261"/>
        <v>3849.2455731367295</v>
      </c>
      <c r="M643" s="306">
        <f t="shared" ca="1" si="277"/>
        <v>-1.0383537174754658</v>
      </c>
      <c r="N643" s="304">
        <f t="shared" ca="1" si="278"/>
        <v>-59.493285653063666</v>
      </c>
      <c r="P643" s="310">
        <f t="shared" ca="1" si="279"/>
        <v>23</v>
      </c>
      <c r="Q643" s="304">
        <f t="shared" ca="1" si="280"/>
        <v>0</v>
      </c>
      <c r="R643" s="306">
        <f t="shared" ca="1" si="281"/>
        <v>0</v>
      </c>
      <c r="S643" s="307">
        <f t="shared" ca="1" si="282"/>
        <v>5.6519999999999806</v>
      </c>
      <c r="T643" s="304">
        <f t="shared" ca="1" si="262"/>
        <v>55.446119999999816</v>
      </c>
      <c r="U643" s="311">
        <f t="shared" ca="1" si="263"/>
        <v>0</v>
      </c>
      <c r="V643" s="306">
        <f t="shared" ca="1" si="264"/>
        <v>0.83963937129989274</v>
      </c>
      <c r="W643" s="304">
        <f t="shared" ca="1" si="265"/>
        <v>3.2141716177269015</v>
      </c>
      <c r="Y643" s="314" t="str">
        <f t="shared" ca="1" si="283"/>
        <v/>
      </c>
      <c r="Z643" s="315" t="str">
        <f t="shared" ca="1" si="284"/>
        <v/>
      </c>
      <c r="AA643" s="316" t="str">
        <f t="shared" ca="1" si="285"/>
        <v/>
      </c>
      <c r="AC643" s="310" t="e">
        <f t="shared" ca="1" si="286"/>
        <v>#N/A</v>
      </c>
      <c r="AD643" s="323" t="e">
        <f t="shared" ca="1" si="287"/>
        <v>#N/A</v>
      </c>
      <c r="AE643" s="324" t="e">
        <f t="shared" ca="1" si="266"/>
        <v>#N/A</v>
      </c>
      <c r="AG643" s="306">
        <f t="shared" ca="1" si="288"/>
        <v>7.8490668343383305</v>
      </c>
      <c r="AH643" s="304">
        <f t="shared" ca="1" si="289"/>
        <v>-0.54996998437344224</v>
      </c>
    </row>
    <row r="644" spans="1:34" x14ac:dyDescent="0.2">
      <c r="A644" s="347">
        <f t="shared" ca="1" si="267"/>
        <v>0.1</v>
      </c>
      <c r="B644" s="304">
        <f t="shared" ca="1" si="268"/>
        <v>32.000000000000114</v>
      </c>
      <c r="D644" s="306">
        <f t="shared" ca="1" si="269"/>
        <v>-0.28868363972051375</v>
      </c>
      <c r="E644" s="307">
        <f t="shared" ca="1" si="270"/>
        <v>-9.3200437360631394</v>
      </c>
      <c r="F644" s="304">
        <f t="shared" ca="1" si="271"/>
        <v>9.3245135790545142</v>
      </c>
      <c r="G644" s="306">
        <f t="shared" ca="1" si="272"/>
        <v>24.38217629077959</v>
      </c>
      <c r="H644" s="307">
        <f t="shared" ca="1" si="273"/>
        <v>-42.362631510694065</v>
      </c>
      <c r="I644" s="304">
        <f t="shared" ca="1" si="274"/>
        <v>48.878247402965506</v>
      </c>
      <c r="J644" s="306">
        <f t="shared" ca="1" si="275"/>
        <v>941.43603345523479</v>
      </c>
      <c r="K644" s="307">
        <f t="shared" ca="1" si="276"/>
        <v>3728.7685868900494</v>
      </c>
      <c r="L644" s="304">
        <f t="shared" ref="L644:L707" ca="1" si="290">SQRT(pos_x^2+pos_z^2)</f>
        <v>3845.7791121781738</v>
      </c>
      <c r="M644" s="306">
        <f t="shared" ca="1" si="277"/>
        <v>-1.0485423561208005</v>
      </c>
      <c r="N644" s="304">
        <f t="shared" ca="1" si="278"/>
        <v>-60.077051646425232</v>
      </c>
      <c r="P644" s="310">
        <f t="shared" ca="1" si="279"/>
        <v>23</v>
      </c>
      <c r="Q644" s="304">
        <f t="shared" ca="1" si="280"/>
        <v>0</v>
      </c>
      <c r="R644" s="306">
        <f t="shared" ca="1" si="281"/>
        <v>0</v>
      </c>
      <c r="S644" s="307">
        <f t="shared" ca="1" si="282"/>
        <v>5.6519999999999806</v>
      </c>
      <c r="T644" s="304">
        <f t="shared" ref="T644:T707" ca="1" si="291">m*g</f>
        <v>55.446119999999816</v>
      </c>
      <c r="U644" s="311">
        <f t="shared" ref="U644:U707" ca="1" si="292">IF(pos_xz&lt;L_rampe,Poids*COS(Beta),0)</f>
        <v>0</v>
      </c>
      <c r="V644" s="306">
        <f t="shared" ref="V644:V707" ca="1" si="293">Rho_moyen*(20000-Alt_rampe-pos_z)/(20000+Alt_rampe+pos_z)</f>
        <v>0.84000391373331107</v>
      </c>
      <c r="W644" s="304">
        <f t="shared" ref="W644:W707" ca="1" si="294">1/2*Rho*Sref*Cx*vit_xz^2</f>
        <v>3.3222065032435513</v>
      </c>
      <c r="Y644" s="314" t="str">
        <f t="shared" ca="1" si="283"/>
        <v/>
      </c>
      <c r="Z644" s="315" t="str">
        <f t="shared" ca="1" si="284"/>
        <v/>
      </c>
      <c r="AA644" s="316" t="str">
        <f t="shared" ca="1" si="285"/>
        <v/>
      </c>
      <c r="AC644" s="310">
        <f t="shared" ca="1" si="286"/>
        <v>32.000000000000114</v>
      </c>
      <c r="AD644" s="323">
        <f t="shared" ca="1" si="287"/>
        <v>941.43603345523479</v>
      </c>
      <c r="AE644" s="324" t="e">
        <f t="shared" ref="AE644:AE707" ca="1" si="295">IF(t&lt;T_para, pos_z, NA())</f>
        <v>#N/A</v>
      </c>
      <c r="AG644" s="306">
        <f t="shared" ca="1" si="288"/>
        <v>7.8833199050555418</v>
      </c>
      <c r="AH644" s="304">
        <f t="shared" ca="1" si="289"/>
        <v>-0.56867863017107445</v>
      </c>
    </row>
    <row r="645" spans="1:34" x14ac:dyDescent="0.2">
      <c r="A645" s="347">
        <f t="shared" ref="A645:A708" ca="1" si="296">IF(B644+0.01&lt;=T_ini+ROUNDUP(Temps_fin_propu,0), 0.01, IF(K644&gt;0, 0.1, 0.0001))</f>
        <v>0.1</v>
      </c>
      <c r="B645" s="304">
        <f t="shared" ref="B645:B708" ca="1" si="297">B644+pas</f>
        <v>32.100000000000115</v>
      </c>
      <c r="D645" s="306">
        <f t="shared" ref="D645:D708" ca="1" si="298">IF(AND(L644&lt;L_rampe,Poussee&lt;Poids*SIN(M644)),0,(-W644+Poussee)/m*COS(M644)-U644/m*SIN(M644))</f>
        <v>-0.29321171125419293</v>
      </c>
      <c r="E645" s="307">
        <f t="shared" ref="E645:E708" ca="1" si="299">IF(AND(L644&lt;L_rampe,Poussee&lt;Poids*SIN(M644)),0,(-W644+Poussee)/m*SIN(M644)+U644/m*COS(M644)-Poids/m)</f>
        <v>-9.3005614851460727</v>
      </c>
      <c r="F645" s="304">
        <f t="shared" ref="F645:F708" ca="1" si="300">SQRT(acc_x^2+acc_z^2)</f>
        <v>9.3051822683168943</v>
      </c>
      <c r="G645" s="306">
        <f t="shared" ref="G645:G708" ca="1" si="301">G644+acc_x*pas</f>
        <v>24.352855119654169</v>
      </c>
      <c r="H645" s="307">
        <f t="shared" ref="H645:H708" ca="1" si="302">H644+acc_z*pas</f>
        <v>-43.292687659208674</v>
      </c>
      <c r="I645" s="304">
        <f t="shared" ref="I645:I708" ca="1" si="303">SQRT(vit_x^2+vit_z^2)</f>
        <v>49.672108443639324</v>
      </c>
      <c r="J645" s="306">
        <f t="shared" ref="J645:J708" ca="1" si="304">J644+0.5*(vit_x+G644)*pas*(K644&gt;=0)</f>
        <v>943.87278502575646</v>
      </c>
      <c r="K645" s="307">
        <f t="shared" ref="K645:K708" ca="1" si="305">K644+0.5*(vit_z+H644)*pas</f>
        <v>3724.4858209315544</v>
      </c>
      <c r="L645" s="304">
        <f t="shared" ca="1" si="290"/>
        <v>3842.224676490493</v>
      </c>
      <c r="M645" s="306">
        <f t="shared" ref="M645:M708" ca="1" si="306">IF(AND(L644&gt;L_rampe,G645&gt;0),ATAN2(G645,H645),$M$4)</f>
        <v>-1.058394262577868</v>
      </c>
      <c r="N645" s="304">
        <f t="shared" ref="N645:N708" ca="1" si="307">DEGREES(Beta)</f>
        <v>-60.641524306572876</v>
      </c>
      <c r="P645" s="310">
        <f t="shared" ref="P645:P708" ca="1" si="308">MATCH(t-pas/2-T_ini,CdP_t)</f>
        <v>23</v>
      </c>
      <c r="Q645" s="304">
        <f t="shared" ref="Q645:Q708" ca="1" si="309">(INDEX(CdP,2,i_P+1)-INDEX(CdP,2,i_P+0))/(INDEX(CdP,1,i_P+1)-INDEX(CdP,1,i_P+0))*(t-pas/2-T_ini-INDEX(CdP,1,i_P+0))+INDEX(CdP,2,i_P+0)</f>
        <v>0</v>
      </c>
      <c r="R645" s="306">
        <f t="shared" ref="R645:R708" ca="1" si="310">Poussee/(g*ISP)</f>
        <v>0</v>
      </c>
      <c r="S645" s="307">
        <f t="shared" ref="S645:S708" ca="1" si="311">S644-Débit*pas</f>
        <v>5.6519999999999806</v>
      </c>
      <c r="T645" s="304">
        <f t="shared" ca="1" si="291"/>
        <v>55.446119999999816</v>
      </c>
      <c r="U645" s="311">
        <f t="shared" ca="1" si="292"/>
        <v>0</v>
      </c>
      <c r="V645" s="306">
        <f t="shared" ca="1" si="293"/>
        <v>0.84037669013540672</v>
      </c>
      <c r="W645" s="304">
        <f t="shared" ca="1" si="294"/>
        <v>3.4325213849007361</v>
      </c>
      <c r="Y645" s="314" t="str">
        <f t="shared" ref="Y645:Y708" ca="1" si="312">IF(AND(pos_z&lt;=0,K644&gt;0),"Impact balistique","") &amp; IF(AND(H646&lt;0,vit_z&gt;=0),"Apogée","") &amp; IF(AND(Poussee=0,Q644&gt;0),"Fin de propulsion","") &amp; IF(AND(L646&gt;L_rampe,pos_xz&lt;=L_rampe),"Sortie de rampe","")</f>
        <v/>
      </c>
      <c r="Z645" s="315" t="str">
        <f t="shared" ref="Z645:Z708" ca="1" si="313">IF(ABS(t-T_para)&lt;pas/2,"Para","")</f>
        <v/>
      </c>
      <c r="AA645" s="316" t="str">
        <f t="shared" ref="AA645:AA708" ca="1" si="314">IF(ABS(t-T_satellite)&lt;pas/2,"Satellite","")</f>
        <v/>
      </c>
      <c r="AC645" s="310" t="e">
        <f t="shared" ref="AC645:AC708" ca="1" si="315">IF(ABS(t-ROUND(t,0))&lt;0.001,t,NA())</f>
        <v>#N/A</v>
      </c>
      <c r="AD645" s="323" t="e">
        <f t="shared" ref="AD645:AD708" ca="1" si="316">IF(ABS(t-ROUND(t,0))&lt;0.001,pos_x,NA())</f>
        <v>#N/A</v>
      </c>
      <c r="AE645" s="324" t="e">
        <f t="shared" ca="1" si="295"/>
        <v>#N/A</v>
      </c>
      <c r="AG645" s="306">
        <f t="shared" ref="AG645:AG708" ca="1" si="317">IF(AND(L644&lt;L_rampe,Poussee&lt;Poids*SIN(M644)),0,(-W644+Poussee)/m-Poids*SIN(M644)/m)</f>
        <v>7.9145047123765178</v>
      </c>
      <c r="AH645" s="304">
        <f t="shared" ref="AH645:AH708" ca="1" si="318">IF(AND(L644&lt;L_rampe,Poussee&lt;Poids*SIN(M644)), g*SIN(M644), (-W644+Poussee)/m)</f>
        <v>-0.58779308266871244</v>
      </c>
    </row>
    <row r="646" spans="1:34" x14ac:dyDescent="0.2">
      <c r="A646" s="347">
        <f t="shared" ca="1" si="296"/>
        <v>0.1</v>
      </c>
      <c r="B646" s="304">
        <f t="shared" ca="1" si="297"/>
        <v>32.200000000000117</v>
      </c>
      <c r="D646" s="306">
        <f t="shared" ca="1" si="298"/>
        <v>-0.29774768156768183</v>
      </c>
      <c r="E646" s="307">
        <f t="shared" ca="1" si="299"/>
        <v>-9.2806864014084347</v>
      </c>
      <c r="F646" s="304">
        <f t="shared" ca="1" si="300"/>
        <v>9.2854614189692466</v>
      </c>
      <c r="G646" s="306">
        <f t="shared" ca="1" si="301"/>
        <v>24.323080351497399</v>
      </c>
      <c r="H646" s="307">
        <f t="shared" ca="1" si="302"/>
        <v>-44.220756299349517</v>
      </c>
      <c r="I646" s="304">
        <f t="shared" ca="1" si="303"/>
        <v>50.468678657875117</v>
      </c>
      <c r="J646" s="306">
        <f t="shared" ca="1" si="304"/>
        <v>946.30658179931402</v>
      </c>
      <c r="K646" s="307">
        <f t="shared" ca="1" si="305"/>
        <v>3720.1101487336264</v>
      </c>
      <c r="L646" s="304">
        <f t="shared" ca="1" si="290"/>
        <v>3838.5825073153796</v>
      </c>
      <c r="M646" s="306">
        <f t="shared" ca="1" si="306"/>
        <v>-1.0679242194845731</v>
      </c>
      <c r="N646" s="304">
        <f t="shared" ca="1" si="307"/>
        <v>-61.187550616268631</v>
      </c>
      <c r="P646" s="310">
        <f t="shared" ca="1" si="308"/>
        <v>23</v>
      </c>
      <c r="Q646" s="304">
        <f t="shared" ca="1" si="309"/>
        <v>0</v>
      </c>
      <c r="R646" s="306">
        <f t="shared" ca="1" si="310"/>
        <v>0</v>
      </c>
      <c r="S646" s="307">
        <f t="shared" ca="1" si="311"/>
        <v>5.6519999999999806</v>
      </c>
      <c r="T646" s="304">
        <f t="shared" ca="1" si="291"/>
        <v>55.446119999999816</v>
      </c>
      <c r="U646" s="311">
        <f t="shared" ca="1" si="292"/>
        <v>0</v>
      </c>
      <c r="V646" s="306">
        <f t="shared" ca="1" si="293"/>
        <v>0.84075769221780028</v>
      </c>
      <c r="W646" s="304">
        <f t="shared" ca="1" si="294"/>
        <v>3.5451023834157152</v>
      </c>
      <c r="Y646" s="314" t="str">
        <f t="shared" ca="1" si="312"/>
        <v/>
      </c>
      <c r="Z646" s="315" t="str">
        <f t="shared" ca="1" si="313"/>
        <v/>
      </c>
      <c r="AA646" s="316" t="str">
        <f t="shared" ca="1" si="314"/>
        <v/>
      </c>
      <c r="AC646" s="310" t="e">
        <f t="shared" ca="1" si="315"/>
        <v>#N/A</v>
      </c>
      <c r="AD646" s="323" t="e">
        <f t="shared" ca="1" si="316"/>
        <v>#N/A</v>
      </c>
      <c r="AE646" s="324" t="e">
        <f t="shared" ca="1" si="295"/>
        <v>#N/A</v>
      </c>
      <c r="AG646" s="306">
        <f t="shared" ca="1" si="317"/>
        <v>7.9427844689836506</v>
      </c>
      <c r="AH646" s="304">
        <f t="shared" ca="1" si="318"/>
        <v>-0.60731093151110194</v>
      </c>
    </row>
    <row r="647" spans="1:34" x14ac:dyDescent="0.2">
      <c r="A647" s="347">
        <f t="shared" ca="1" si="296"/>
        <v>0.1</v>
      </c>
      <c r="B647" s="304">
        <f t="shared" ca="1" si="297"/>
        <v>32.300000000000118</v>
      </c>
      <c r="D647" s="306">
        <f t="shared" ca="1" si="298"/>
        <v>-0.30228964398977526</v>
      </c>
      <c r="E647" s="307">
        <f t="shared" ca="1" si="299"/>
        <v>-9.2604200748625161</v>
      </c>
      <c r="F647" s="304">
        <f t="shared" ca="1" si="300"/>
        <v>9.265352610223756</v>
      </c>
      <c r="G647" s="306">
        <f t="shared" ca="1" si="301"/>
        <v>24.292851387098423</v>
      </c>
      <c r="H647" s="307">
        <f t="shared" ca="1" si="302"/>
        <v>-45.14679830683577</v>
      </c>
      <c r="I647" s="304">
        <f t="shared" ca="1" si="303"/>
        <v>51.267689882359228</v>
      </c>
      <c r="J647" s="306">
        <f t="shared" ca="1" si="304"/>
        <v>948.73737838624379</v>
      </c>
      <c r="K647" s="307">
        <f t="shared" ca="1" si="305"/>
        <v>3715.641771003317</v>
      </c>
      <c r="L647" s="304">
        <f t="shared" ca="1" si="290"/>
        <v>3834.8528503153634</v>
      </c>
      <c r="M647" s="306">
        <f t="shared" ca="1" si="306"/>
        <v>-1.0771462818469926</v>
      </c>
      <c r="N647" s="304">
        <f t="shared" ca="1" si="307"/>
        <v>-61.715935868041711</v>
      </c>
      <c r="P647" s="310">
        <f t="shared" ca="1" si="308"/>
        <v>23</v>
      </c>
      <c r="Q647" s="304">
        <f t="shared" ca="1" si="309"/>
        <v>0</v>
      </c>
      <c r="R647" s="306">
        <f t="shared" ca="1" si="310"/>
        <v>0</v>
      </c>
      <c r="S647" s="307">
        <f t="shared" ca="1" si="311"/>
        <v>5.6519999999999806</v>
      </c>
      <c r="T647" s="304">
        <f t="shared" ca="1" si="291"/>
        <v>55.446119999999816</v>
      </c>
      <c r="U647" s="311">
        <f t="shared" ca="1" si="292"/>
        <v>0</v>
      </c>
      <c r="V647" s="306">
        <f t="shared" ca="1" si="293"/>
        <v>0.84114691152534649</v>
      </c>
      <c r="W647" s="304">
        <f t="shared" ca="1" si="294"/>
        <v>3.6599353653804569</v>
      </c>
      <c r="Y647" s="314" t="str">
        <f t="shared" ca="1" si="312"/>
        <v/>
      </c>
      <c r="Z647" s="315" t="str">
        <f t="shared" ca="1" si="313"/>
        <v/>
      </c>
      <c r="AA647" s="316" t="str">
        <f t="shared" ca="1" si="314"/>
        <v/>
      </c>
      <c r="AC647" s="310" t="e">
        <f t="shared" ca="1" si="315"/>
        <v>#N/A</v>
      </c>
      <c r="AD647" s="323" t="e">
        <f t="shared" ca="1" si="316"/>
        <v>#N/A</v>
      </c>
      <c r="AE647" s="324" t="e">
        <f t="shared" ca="1" si="295"/>
        <v>#N/A</v>
      </c>
      <c r="AG647" s="306">
        <f t="shared" ca="1" si="317"/>
        <v>7.9683117282714742</v>
      </c>
      <c r="AH647" s="304">
        <f t="shared" ca="1" si="318"/>
        <v>-0.62722972105727659</v>
      </c>
    </row>
    <row r="648" spans="1:34" x14ac:dyDescent="0.2">
      <c r="A648" s="347">
        <f t="shared" ca="1" si="296"/>
        <v>0.1</v>
      </c>
      <c r="B648" s="304">
        <f t="shared" ca="1" si="297"/>
        <v>32.400000000000119</v>
      </c>
      <c r="D648" s="306">
        <f t="shared" ca="1" si="298"/>
        <v>-0.30683578440385545</v>
      </c>
      <c r="E648" s="307">
        <f t="shared" ca="1" si="299"/>
        <v>-9.2397642112462126</v>
      </c>
      <c r="F648" s="304">
        <f t="shared" ca="1" si="300"/>
        <v>9.2448575369238153</v>
      </c>
      <c r="G648" s="306">
        <f t="shared" ca="1" si="301"/>
        <v>24.262167808658038</v>
      </c>
      <c r="H648" s="307">
        <f t="shared" ca="1" si="302"/>
        <v>-46.070774727960391</v>
      </c>
      <c r="I648" s="304">
        <f t="shared" ca="1" si="303"/>
        <v>52.068887743161518</v>
      </c>
      <c r="J648" s="306">
        <f t="shared" ca="1" si="304"/>
        <v>951.16512934603156</v>
      </c>
      <c r="K648" s="307">
        <f t="shared" ca="1" si="305"/>
        <v>3711.0808923515774</v>
      </c>
      <c r="L648" s="304">
        <f t="shared" ca="1" si="290"/>
        <v>3831.0359555687851</v>
      </c>
      <c r="M648" s="306">
        <f t="shared" ca="1" si="306"/>
        <v>-1.0860738098346985</v>
      </c>
      <c r="N648" s="304">
        <f t="shared" ca="1" si="307"/>
        <v>-62.227445543222181</v>
      </c>
      <c r="P648" s="310">
        <f t="shared" ca="1" si="308"/>
        <v>23</v>
      </c>
      <c r="Q648" s="304">
        <f t="shared" ca="1" si="309"/>
        <v>0</v>
      </c>
      <c r="R648" s="306">
        <f t="shared" ca="1" si="310"/>
        <v>0</v>
      </c>
      <c r="S648" s="307">
        <f t="shared" ca="1" si="311"/>
        <v>5.6519999999999806</v>
      </c>
      <c r="T648" s="304">
        <f t="shared" ca="1" si="291"/>
        <v>55.446119999999816</v>
      </c>
      <c r="U648" s="311">
        <f t="shared" ca="1" si="292"/>
        <v>0</v>
      </c>
      <c r="V648" s="306">
        <f t="shared" ca="1" si="293"/>
        <v>0.84154433943607376</v>
      </c>
      <c r="W648" s="304">
        <f t="shared" ca="1" si="294"/>
        <v>3.7770059452224753</v>
      </c>
      <c r="Y648" s="314" t="str">
        <f t="shared" ca="1" si="312"/>
        <v/>
      </c>
      <c r="Z648" s="315" t="str">
        <f t="shared" ca="1" si="313"/>
        <v/>
      </c>
      <c r="AA648" s="316" t="str">
        <f t="shared" ca="1" si="314"/>
        <v/>
      </c>
      <c r="AC648" s="310" t="e">
        <f t="shared" ca="1" si="315"/>
        <v>#N/A</v>
      </c>
      <c r="AD648" s="323" t="e">
        <f t="shared" ca="1" si="316"/>
        <v>#N/A</v>
      </c>
      <c r="AE648" s="324" t="e">
        <f t="shared" ca="1" si="295"/>
        <v>#N/A</v>
      </c>
      <c r="AG648" s="306">
        <f t="shared" ca="1" si="317"/>
        <v>7.9912290972575519</v>
      </c>
      <c r="AH648" s="304">
        <f t="shared" ca="1" si="318"/>
        <v>-0.64754695070425861</v>
      </c>
    </row>
    <row r="649" spans="1:34" x14ac:dyDescent="0.2">
      <c r="A649" s="347">
        <f t="shared" ca="1" si="296"/>
        <v>0.1</v>
      </c>
      <c r="B649" s="304">
        <f t="shared" ca="1" si="297"/>
        <v>32.500000000000121</v>
      </c>
      <c r="D649" s="306">
        <f t="shared" ca="1" si="298"/>
        <v>-0.31138437535153235</v>
      </c>
      <c r="E649" s="307">
        <f t="shared" ca="1" si="299"/>
        <v>-9.2187206253058811</v>
      </c>
      <c r="F649" s="304">
        <f t="shared" ca="1" si="300"/>
        <v>9.2239780028279075</v>
      </c>
      <c r="G649" s="306">
        <f t="shared" ca="1" si="301"/>
        <v>24.231029371122887</v>
      </c>
      <c r="H649" s="307">
        <f t="shared" ca="1" si="302"/>
        <v>-46.99264679049098</v>
      </c>
      <c r="I649" s="304">
        <f t="shared" ca="1" si="303"/>
        <v>52.872030760696738</v>
      </c>
      <c r="J649" s="306">
        <f t="shared" ca="1" si="304"/>
        <v>953.58978920502057</v>
      </c>
      <c r="K649" s="307">
        <f t="shared" ca="1" si="305"/>
        <v>3706.4277212756547</v>
      </c>
      <c r="L649" s="304">
        <f t="shared" ca="1" si="290"/>
        <v>3827.1320775636577</v>
      </c>
      <c r="M649" s="306">
        <f t="shared" ca="1" si="306"/>
        <v>-1.0947195011960236</v>
      </c>
      <c r="N649" s="304">
        <f t="shared" ca="1" si="307"/>
        <v>-62.722807169198823</v>
      </c>
      <c r="P649" s="310">
        <f t="shared" ca="1" si="308"/>
        <v>23</v>
      </c>
      <c r="Q649" s="304">
        <f t="shared" ca="1" si="309"/>
        <v>0</v>
      </c>
      <c r="R649" s="306">
        <f t="shared" ca="1" si="310"/>
        <v>0</v>
      </c>
      <c r="S649" s="307">
        <f t="shared" ca="1" si="311"/>
        <v>5.6519999999999806</v>
      </c>
      <c r="T649" s="304">
        <f t="shared" ca="1" si="291"/>
        <v>55.446119999999816</v>
      </c>
      <c r="U649" s="311">
        <f t="shared" ca="1" si="292"/>
        <v>0</v>
      </c>
      <c r="V649" s="306">
        <f t="shared" ca="1" si="293"/>
        <v>0.84194996716119697</v>
      </c>
      <c r="W649" s="304">
        <f t="shared" ca="1" si="294"/>
        <v>3.8962994872892187</v>
      </c>
      <c r="Y649" s="314" t="str">
        <f t="shared" ca="1" si="312"/>
        <v/>
      </c>
      <c r="Z649" s="315" t="str">
        <f t="shared" ca="1" si="313"/>
        <v/>
      </c>
      <c r="AA649" s="316" t="str">
        <f t="shared" ca="1" si="314"/>
        <v/>
      </c>
      <c r="AC649" s="310" t="e">
        <f t="shared" ca="1" si="315"/>
        <v>#N/A</v>
      </c>
      <c r="AD649" s="323" t="e">
        <f t="shared" ca="1" si="316"/>
        <v>#N/A</v>
      </c>
      <c r="AE649" s="324" t="e">
        <f t="shared" ca="1" si="295"/>
        <v>#N/A</v>
      </c>
      <c r="AG649" s="306">
        <f t="shared" ca="1" si="317"/>
        <v>8.0116699111838443</v>
      </c>
      <c r="AH649" s="304">
        <f t="shared" ca="1" si="318"/>
        <v>-0.6682600752339859</v>
      </c>
    </row>
    <row r="650" spans="1:34" x14ac:dyDescent="0.2">
      <c r="A650" s="347">
        <f t="shared" ca="1" si="296"/>
        <v>0.1</v>
      </c>
      <c r="B650" s="304">
        <f t="shared" ca="1" si="297"/>
        <v>32.600000000000122</v>
      </c>
      <c r="D650" s="306">
        <f t="shared" ca="1" si="298"/>
        <v>-0.3159337705438211</v>
      </c>
      <c r="E650" s="307">
        <f t="shared" ca="1" si="299"/>
        <v>-9.1972912346824582</v>
      </c>
      <c r="F650" s="304">
        <f t="shared" ca="1" si="300"/>
        <v>9.2027159144970252</v>
      </c>
      <c r="G650" s="306">
        <f t="shared" ca="1" si="301"/>
        <v>24.199435994068505</v>
      </c>
      <c r="H650" s="307">
        <f t="shared" ca="1" si="302"/>
        <v>-47.912375913959224</v>
      </c>
      <c r="I650" s="304">
        <f t="shared" ca="1" si="303"/>
        <v>53.676889516360369</v>
      </c>
      <c r="J650" s="306">
        <f t="shared" ca="1" si="304"/>
        <v>956.0113124732801</v>
      </c>
      <c r="K650" s="307">
        <f t="shared" ca="1" si="305"/>
        <v>3701.6824701404321</v>
      </c>
      <c r="L650" s="304">
        <f t="shared" ca="1" si="290"/>
        <v>3823.1414751905081</v>
      </c>
      <c r="M650" s="306">
        <f t="shared" ca="1" si="306"/>
        <v>-1.1030954230477883</v>
      </c>
      <c r="N650" s="304">
        <f t="shared" ca="1" si="307"/>
        <v>-63.202712140836347</v>
      </c>
      <c r="P650" s="310">
        <f t="shared" ca="1" si="308"/>
        <v>23</v>
      </c>
      <c r="Q650" s="304">
        <f t="shared" ca="1" si="309"/>
        <v>0</v>
      </c>
      <c r="R650" s="306">
        <f t="shared" ca="1" si="310"/>
        <v>0</v>
      </c>
      <c r="S650" s="307">
        <f t="shared" ca="1" si="311"/>
        <v>5.6519999999999806</v>
      </c>
      <c r="T650" s="304">
        <f t="shared" ca="1" si="291"/>
        <v>55.446119999999816</v>
      </c>
      <c r="U650" s="311">
        <f t="shared" ca="1" si="292"/>
        <v>0</v>
      </c>
      <c r="V650" s="306">
        <f t="shared" ca="1" si="293"/>
        <v>0.84236378574519288</v>
      </c>
      <c r="W650" s="304">
        <f t="shared" ca="1" si="294"/>
        <v>4.0178011080489719</v>
      </c>
      <c r="Y650" s="314" t="str">
        <f t="shared" ca="1" si="312"/>
        <v/>
      </c>
      <c r="Z650" s="315" t="str">
        <f t="shared" ca="1" si="313"/>
        <v/>
      </c>
      <c r="AA650" s="316" t="str">
        <f t="shared" ca="1" si="314"/>
        <v/>
      </c>
      <c r="AC650" s="310" t="e">
        <f t="shared" ca="1" si="315"/>
        <v>#N/A</v>
      </c>
      <c r="AD650" s="323" t="e">
        <f t="shared" ca="1" si="316"/>
        <v>#N/A</v>
      </c>
      <c r="AE650" s="324" t="e">
        <f t="shared" ca="1" si="295"/>
        <v>#N/A</v>
      </c>
      <c r="AG650" s="306">
        <f t="shared" ca="1" si="317"/>
        <v>8.0297588694650681</v>
      </c>
      <c r="AH650" s="304">
        <f t="shared" ca="1" si="318"/>
        <v>-0.68936650518210052</v>
      </c>
    </row>
    <row r="651" spans="1:34" x14ac:dyDescent="0.2">
      <c r="A651" s="347">
        <f t="shared" ca="1" si="296"/>
        <v>0.1</v>
      </c>
      <c r="B651" s="304">
        <f t="shared" ca="1" si="297"/>
        <v>32.700000000000124</v>
      </c>
      <c r="D651" s="306">
        <f t="shared" ca="1" si="298"/>
        <v>-0.32048239975544252</v>
      </c>
      <c r="E651" s="307">
        <f t="shared" ca="1" si="299"/>
        <v>-9.1754780543375407</v>
      </c>
      <c r="F651" s="304">
        <f t="shared" ca="1" si="300"/>
        <v>9.1810732757223334</v>
      </c>
      <c r="G651" s="306">
        <f t="shared" ca="1" si="301"/>
        <v>24.16738775409296</v>
      </c>
      <c r="H651" s="307">
        <f t="shared" ca="1" si="302"/>
        <v>-48.82992371939298</v>
      </c>
      <c r="I651" s="304">
        <f t="shared" ca="1" si="303"/>
        <v>54.483245877043892</v>
      </c>
      <c r="J651" s="306">
        <f t="shared" ca="1" si="304"/>
        <v>958.42965366068813</v>
      </c>
      <c r="K651" s="307">
        <f t="shared" ca="1" si="305"/>
        <v>3696.8453551587645</v>
      </c>
      <c r="L651" s="304">
        <f t="shared" ca="1" si="290"/>
        <v>3819.0644117342508</v>
      </c>
      <c r="M651" s="306">
        <f t="shared" ca="1" si="306"/>
        <v>-1.1112130428525411</v>
      </c>
      <c r="N651" s="304">
        <f t="shared" ca="1" si="307"/>
        <v>-63.667817495340493</v>
      </c>
      <c r="P651" s="310">
        <f t="shared" ca="1" si="308"/>
        <v>23</v>
      </c>
      <c r="Q651" s="304">
        <f t="shared" ca="1" si="309"/>
        <v>0</v>
      </c>
      <c r="R651" s="306">
        <f t="shared" ca="1" si="310"/>
        <v>0</v>
      </c>
      <c r="S651" s="307">
        <f t="shared" ca="1" si="311"/>
        <v>5.6519999999999806</v>
      </c>
      <c r="T651" s="304">
        <f t="shared" ca="1" si="291"/>
        <v>55.446119999999816</v>
      </c>
      <c r="U651" s="311">
        <f t="shared" ca="1" si="292"/>
        <v>0</v>
      </c>
      <c r="V651" s="306">
        <f t="shared" ca="1" si="293"/>
        <v>0.84278578606594068</v>
      </c>
      <c r="W651" s="304">
        <f t="shared" ca="1" si="294"/>
        <v>4.1414956784018564</v>
      </c>
      <c r="Y651" s="314" t="str">
        <f t="shared" ca="1" si="312"/>
        <v/>
      </c>
      <c r="Z651" s="315" t="str">
        <f t="shared" ca="1" si="313"/>
        <v/>
      </c>
      <c r="AA651" s="316" t="str">
        <f t="shared" ca="1" si="314"/>
        <v/>
      </c>
      <c r="AC651" s="310" t="e">
        <f t="shared" ca="1" si="315"/>
        <v>#N/A</v>
      </c>
      <c r="AD651" s="323" t="e">
        <f t="shared" ca="1" si="316"/>
        <v>#N/A</v>
      </c>
      <c r="AE651" s="324" t="e">
        <f t="shared" ca="1" si="295"/>
        <v>#N/A</v>
      </c>
      <c r="AG651" s="306">
        <f t="shared" ca="1" si="317"/>
        <v>8.0456126333096645</v>
      </c>
      <c r="AH651" s="304">
        <f t="shared" ca="1" si="318"/>
        <v>-0.71086360722735065</v>
      </c>
    </row>
    <row r="652" spans="1:34" x14ac:dyDescent="0.2">
      <c r="A652" s="347">
        <f t="shared" ca="1" si="296"/>
        <v>0.1</v>
      </c>
      <c r="B652" s="304">
        <f t="shared" ca="1" si="297"/>
        <v>32.800000000000125</v>
      </c>
      <c r="D652" s="306">
        <f t="shared" ca="1" si="298"/>
        <v>-0.3250287640782859</v>
      </c>
      <c r="E652" s="307">
        <f t="shared" ca="1" si="299"/>
        <v>-9.1532831914627035</v>
      </c>
      <c r="F652" s="304">
        <f t="shared" ca="1" si="300"/>
        <v>9.1590521824363424</v>
      </c>
      <c r="G652" s="306">
        <f t="shared" ca="1" si="301"/>
        <v>24.134884877685131</v>
      </c>
      <c r="H652" s="307">
        <f t="shared" ca="1" si="302"/>
        <v>-49.745252038539249</v>
      </c>
      <c r="I652" s="304">
        <f t="shared" ca="1" si="303"/>
        <v>55.29089227383573</v>
      </c>
      <c r="J652" s="306">
        <f t="shared" ca="1" si="304"/>
        <v>960.84476729227708</v>
      </c>
      <c r="K652" s="307">
        <f t="shared" ca="1" si="305"/>
        <v>3691.9165963708679</v>
      </c>
      <c r="L652" s="304">
        <f t="shared" ca="1" si="290"/>
        <v>3814.9011548651692</v>
      </c>
      <c r="M652" s="306">
        <f t="shared" ca="1" si="306"/>
        <v>-1.119083258444632</v>
      </c>
      <c r="N652" s="304">
        <f t="shared" ca="1" si="307"/>
        <v>-64.118747632625357</v>
      </c>
      <c r="P652" s="310">
        <f t="shared" ca="1" si="308"/>
        <v>23</v>
      </c>
      <c r="Q652" s="304">
        <f t="shared" ca="1" si="309"/>
        <v>0</v>
      </c>
      <c r="R652" s="306">
        <f t="shared" ca="1" si="310"/>
        <v>0</v>
      </c>
      <c r="S652" s="307">
        <f t="shared" ca="1" si="311"/>
        <v>5.6519999999999806</v>
      </c>
      <c r="T652" s="304">
        <f t="shared" ca="1" si="291"/>
        <v>55.446119999999816</v>
      </c>
      <c r="U652" s="311">
        <f t="shared" ca="1" si="292"/>
        <v>0</v>
      </c>
      <c r="V652" s="306">
        <f t="shared" ca="1" si="293"/>
        <v>0.84321595883491463</v>
      </c>
      <c r="W652" s="304">
        <f t="shared" ca="1" si="294"/>
        <v>4.2673678260949721</v>
      </c>
      <c r="Y652" s="314" t="str">
        <f t="shared" ca="1" si="312"/>
        <v/>
      </c>
      <c r="Z652" s="315" t="str">
        <f t="shared" ca="1" si="313"/>
        <v/>
      </c>
      <c r="AA652" s="316" t="str">
        <f t="shared" ca="1" si="314"/>
        <v/>
      </c>
      <c r="AC652" s="310" t="e">
        <f t="shared" ca="1" si="315"/>
        <v>#N/A</v>
      </c>
      <c r="AD652" s="323" t="e">
        <f t="shared" ca="1" si="316"/>
        <v>#N/A</v>
      </c>
      <c r="AE652" s="324" t="e">
        <f t="shared" ca="1" si="295"/>
        <v>#N/A</v>
      </c>
      <c r="AG652" s="306">
        <f t="shared" ca="1" si="317"/>
        <v>8.0593403858381976</v>
      </c>
      <c r="AH652" s="304">
        <f t="shared" ca="1" si="318"/>
        <v>-0.73274870460047248</v>
      </c>
    </row>
    <row r="653" spans="1:34" x14ac:dyDescent="0.2">
      <c r="A653" s="347">
        <f t="shared" ca="1" si="296"/>
        <v>0.1</v>
      </c>
      <c r="B653" s="304">
        <f t="shared" ca="1" si="297"/>
        <v>32.900000000000126</v>
      </c>
      <c r="D653" s="306">
        <f t="shared" ca="1" si="298"/>
        <v>-0.32957143151077395</v>
      </c>
      <c r="E653" s="307">
        <f t="shared" ca="1" si="299"/>
        <v>-9.1307088408213666</v>
      </c>
      <c r="F653" s="304">
        <f t="shared" ca="1" si="300"/>
        <v>9.1366548180568543</v>
      </c>
      <c r="G653" s="306">
        <f t="shared" ca="1" si="301"/>
        <v>24.101927734534055</v>
      </c>
      <c r="H653" s="307">
        <f t="shared" ca="1" si="302"/>
        <v>-50.658322922621387</v>
      </c>
      <c r="I653" s="304">
        <f t="shared" ca="1" si="303"/>
        <v>56.099631031347158</v>
      </c>
      <c r="J653" s="306">
        <f t="shared" ca="1" si="304"/>
        <v>963.25660792288807</v>
      </c>
      <c r="K653" s="307">
        <f t="shared" ca="1" si="305"/>
        <v>3686.8964176228096</v>
      </c>
      <c r="L653" s="304">
        <f t="shared" ca="1" si="290"/>
        <v>3810.6519766290671</v>
      </c>
      <c r="M653" s="306">
        <f t="shared" ca="1" si="306"/>
        <v>-1.1267164270060279</v>
      </c>
      <c r="N653" s="304">
        <f t="shared" ca="1" si="307"/>
        <v>-64.556095975505286</v>
      </c>
      <c r="P653" s="310">
        <f t="shared" ca="1" si="308"/>
        <v>23</v>
      </c>
      <c r="Q653" s="304">
        <f t="shared" ca="1" si="309"/>
        <v>0</v>
      </c>
      <c r="R653" s="306">
        <f t="shared" ca="1" si="310"/>
        <v>0</v>
      </c>
      <c r="S653" s="307">
        <f t="shared" ca="1" si="311"/>
        <v>5.6519999999999806</v>
      </c>
      <c r="T653" s="304">
        <f t="shared" ca="1" si="291"/>
        <v>55.446119999999816</v>
      </c>
      <c r="U653" s="311">
        <f t="shared" ca="1" si="292"/>
        <v>0</v>
      </c>
      <c r="V653" s="306">
        <f t="shared" ca="1" si="293"/>
        <v>0.84365429459743413</v>
      </c>
      <c r="W653" s="304">
        <f t="shared" ca="1" si="294"/>
        <v>4.3954019382363638</v>
      </c>
      <c r="Y653" s="314" t="str">
        <f t="shared" ca="1" si="312"/>
        <v/>
      </c>
      <c r="Z653" s="315" t="str">
        <f t="shared" ca="1" si="313"/>
        <v/>
      </c>
      <c r="AA653" s="316" t="str">
        <f t="shared" ca="1" si="314"/>
        <v/>
      </c>
      <c r="AC653" s="310" t="e">
        <f t="shared" ca="1" si="315"/>
        <v>#N/A</v>
      </c>
      <c r="AD653" s="323" t="e">
        <f t="shared" ca="1" si="316"/>
        <v>#N/A</v>
      </c>
      <c r="AE653" s="324" t="e">
        <f t="shared" ca="1" si="295"/>
        <v>#N/A</v>
      </c>
      <c r="AG653" s="306">
        <f t="shared" ca="1" si="317"/>
        <v>8.0710443558868743</v>
      </c>
      <c r="AH653" s="304">
        <f t="shared" ca="1" si="318"/>
        <v>-0.75501907751149799</v>
      </c>
    </row>
    <row r="654" spans="1:34" x14ac:dyDescent="0.2">
      <c r="A654" s="347">
        <f t="shared" ca="1" si="296"/>
        <v>0.1</v>
      </c>
      <c r="B654" s="304">
        <f t="shared" ca="1" si="297"/>
        <v>33.000000000000128</v>
      </c>
      <c r="D654" s="306">
        <f t="shared" ca="1" si="298"/>
        <v>-0.33410903286076155</v>
      </c>
      <c r="E654" s="307">
        <f t="shared" ca="1" si="299"/>
        <v>-9.1077572804778644</v>
      </c>
      <c r="F654" s="304">
        <f t="shared" ca="1" si="300"/>
        <v>9.1138834492183793</v>
      </c>
      <c r="G654" s="306">
        <f t="shared" ca="1" si="301"/>
        <v>24.06851683124798</v>
      </c>
      <c r="H654" s="307">
        <f t="shared" ca="1" si="302"/>
        <v>-51.569098650669176</v>
      </c>
      <c r="I654" s="304">
        <f t="shared" ca="1" si="303"/>
        <v>56.909273744254691</v>
      </c>
      <c r="J654" s="306">
        <f t="shared" ca="1" si="304"/>
        <v>965.66513015117721</v>
      </c>
      <c r="K654" s="307">
        <f t="shared" ca="1" si="305"/>
        <v>3681.7850465441452</v>
      </c>
      <c r="L654" s="304">
        <f t="shared" ca="1" si="290"/>
        <v>3806.3171534366343</v>
      </c>
      <c r="M654" s="306">
        <f t="shared" ca="1" si="306"/>
        <v>-1.1341223929250344</v>
      </c>
      <c r="N654" s="304">
        <f t="shared" ca="1" si="307"/>
        <v>-64.980426565882084</v>
      </c>
      <c r="P654" s="310">
        <f t="shared" ca="1" si="308"/>
        <v>23</v>
      </c>
      <c r="Q654" s="304">
        <f t="shared" ca="1" si="309"/>
        <v>0</v>
      </c>
      <c r="R654" s="306">
        <f t="shared" ca="1" si="310"/>
        <v>0</v>
      </c>
      <c r="S654" s="307">
        <f t="shared" ca="1" si="311"/>
        <v>5.6519999999999806</v>
      </c>
      <c r="T654" s="304">
        <f t="shared" ca="1" si="291"/>
        <v>55.446119999999816</v>
      </c>
      <c r="U654" s="311">
        <f t="shared" ca="1" si="292"/>
        <v>0</v>
      </c>
      <c r="V654" s="306">
        <f t="shared" ca="1" si="293"/>
        <v>0.84410078373296094</v>
      </c>
      <c r="W654" s="304">
        <f t="shared" ca="1" si="294"/>
        <v>4.5255821639027456</v>
      </c>
      <c r="Y654" s="314" t="str">
        <f t="shared" ca="1" si="312"/>
        <v/>
      </c>
      <c r="Z654" s="315" t="str">
        <f t="shared" ca="1" si="313"/>
        <v/>
      </c>
      <c r="AA654" s="316" t="str">
        <f t="shared" ca="1" si="314"/>
        <v/>
      </c>
      <c r="AC654" s="310">
        <f t="shared" ca="1" si="315"/>
        <v>33.000000000000128</v>
      </c>
      <c r="AD654" s="323">
        <f t="shared" ca="1" si="316"/>
        <v>965.66513015117721</v>
      </c>
      <c r="AE654" s="324" t="e">
        <f t="shared" ca="1" si="295"/>
        <v>#N/A</v>
      </c>
      <c r="AG654" s="306">
        <f t="shared" ca="1" si="317"/>
        <v>8.0808203069379871</v>
      </c>
      <c r="AH654" s="304">
        <f t="shared" ca="1" si="318"/>
        <v>-0.77767196359454682</v>
      </c>
    </row>
    <row r="655" spans="1:34" x14ac:dyDescent="0.2">
      <c r="A655" s="347">
        <f t="shared" ca="1" si="296"/>
        <v>0.1</v>
      </c>
      <c r="B655" s="304">
        <f t="shared" ca="1" si="297"/>
        <v>33.100000000000129</v>
      </c>
      <c r="D655" s="306">
        <f t="shared" ca="1" si="298"/>
        <v>-0.33864025794059344</v>
      </c>
      <c r="E655" s="307">
        <f t="shared" ca="1" si="299"/>
        <v>-9.084430867873257</v>
      </c>
      <c r="F655" s="304">
        <f t="shared" ca="1" si="300"/>
        <v>9.0907404218504961</v>
      </c>
      <c r="G655" s="306">
        <f t="shared" ca="1" si="301"/>
        <v>24.03465280545392</v>
      </c>
      <c r="H655" s="307">
        <f t="shared" ca="1" si="302"/>
        <v>-52.477541737456498</v>
      </c>
      <c r="I655" s="304">
        <f t="shared" ca="1" si="303"/>
        <v>57.719640697817958</v>
      </c>
      <c r="J655" s="306">
        <f t="shared" ca="1" si="304"/>
        <v>968.0702886330123</v>
      </c>
      <c r="K655" s="307">
        <f t="shared" ca="1" si="305"/>
        <v>3676.582714524739</v>
      </c>
      <c r="L655" s="304">
        <f t="shared" ca="1" si="290"/>
        <v>3801.896966052092</v>
      </c>
      <c r="M655" s="306">
        <f t="shared" ca="1" si="306"/>
        <v>-1.1413105144972084</v>
      </c>
      <c r="N655" s="304">
        <f t="shared" ca="1" si="307"/>
        <v>-65.392275594594594</v>
      </c>
      <c r="P655" s="310">
        <f t="shared" ca="1" si="308"/>
        <v>23</v>
      </c>
      <c r="Q655" s="304">
        <f t="shared" ca="1" si="309"/>
        <v>0</v>
      </c>
      <c r="R655" s="306">
        <f t="shared" ca="1" si="310"/>
        <v>0</v>
      </c>
      <c r="S655" s="307">
        <f t="shared" ca="1" si="311"/>
        <v>5.6519999999999806</v>
      </c>
      <c r="T655" s="304">
        <f t="shared" ca="1" si="291"/>
        <v>55.446119999999816</v>
      </c>
      <c r="U655" s="311">
        <f t="shared" ca="1" si="292"/>
        <v>0</v>
      </c>
      <c r="V655" s="306">
        <f t="shared" ca="1" si="293"/>
        <v>0.84455541645544352</v>
      </c>
      <c r="W655" s="304">
        <f t="shared" ca="1" si="294"/>
        <v>4.6578924168364511</v>
      </c>
      <c r="Y655" s="314" t="str">
        <f t="shared" ca="1" si="312"/>
        <v/>
      </c>
      <c r="Z655" s="315" t="str">
        <f t="shared" ca="1" si="313"/>
        <v/>
      </c>
      <c r="AA655" s="316" t="str">
        <f t="shared" ca="1" si="314"/>
        <v/>
      </c>
      <c r="AC655" s="310" t="e">
        <f t="shared" ca="1" si="315"/>
        <v>#N/A</v>
      </c>
      <c r="AD655" s="323" t="e">
        <f t="shared" ca="1" si="316"/>
        <v>#N/A</v>
      </c>
      <c r="AE655" s="324" t="e">
        <f t="shared" ca="1" si="295"/>
        <v>#N/A</v>
      </c>
      <c r="AG655" s="306">
        <f t="shared" ca="1" si="317"/>
        <v>8.0887579927872686</v>
      </c>
      <c r="AH655" s="304">
        <f t="shared" ca="1" si="318"/>
        <v>-0.80070455836920751</v>
      </c>
    </row>
    <row r="656" spans="1:34" x14ac:dyDescent="0.2">
      <c r="A656" s="347">
        <f t="shared" ca="1" si="296"/>
        <v>0.1</v>
      </c>
      <c r="B656" s="304">
        <f t="shared" ca="1" si="297"/>
        <v>33.200000000000131</v>
      </c>
      <c r="D656" s="306">
        <f t="shared" ca="1" si="298"/>
        <v>-0.34316385203403088</v>
      </c>
      <c r="E656" s="307">
        <f t="shared" ca="1" si="299"/>
        <v>-9.0607320362116592</v>
      </c>
      <c r="F656" s="304">
        <f t="shared" ca="1" si="300"/>
        <v>9.0672281575669587</v>
      </c>
      <c r="G656" s="306">
        <f t="shared" ca="1" si="301"/>
        <v>24.000336420250516</v>
      </c>
      <c r="H656" s="307">
        <f t="shared" ca="1" si="302"/>
        <v>-53.383614941077667</v>
      </c>
      <c r="I656" s="304">
        <f t="shared" ca="1" si="303"/>
        <v>58.530560329305359</v>
      </c>
      <c r="J656" s="306">
        <f t="shared" ca="1" si="304"/>
        <v>970.47203809429755</v>
      </c>
      <c r="K656" s="307">
        <f t="shared" ca="1" si="305"/>
        <v>3671.2896566908121</v>
      </c>
      <c r="L656" s="304">
        <f t="shared" ca="1" si="290"/>
        <v>3797.3916995811533</v>
      </c>
      <c r="M656" s="306">
        <f t="shared" ca="1" si="306"/>
        <v>-1.1482896894487127</v>
      </c>
      <c r="N656" s="304">
        <f t="shared" ca="1" si="307"/>
        <v>-65.792152863799217</v>
      </c>
      <c r="P656" s="310">
        <f t="shared" ca="1" si="308"/>
        <v>23</v>
      </c>
      <c r="Q656" s="304">
        <f t="shared" ca="1" si="309"/>
        <v>0</v>
      </c>
      <c r="R656" s="306">
        <f t="shared" ca="1" si="310"/>
        <v>0</v>
      </c>
      <c r="S656" s="307">
        <f t="shared" ca="1" si="311"/>
        <v>5.6519999999999806</v>
      </c>
      <c r="T656" s="304">
        <f t="shared" ca="1" si="291"/>
        <v>55.446119999999816</v>
      </c>
      <c r="U656" s="311">
        <f t="shared" ca="1" si="292"/>
        <v>0</v>
      </c>
      <c r="V656" s="306">
        <f t="shared" ca="1" si="293"/>
        <v>0.84501818281370644</v>
      </c>
      <c r="W656" s="304">
        <f t="shared" ca="1" si="294"/>
        <v>4.7923163782273477</v>
      </c>
      <c r="Y656" s="314" t="str">
        <f t="shared" ca="1" si="312"/>
        <v/>
      </c>
      <c r="Z656" s="315" t="str">
        <f t="shared" ca="1" si="313"/>
        <v/>
      </c>
      <c r="AA656" s="316" t="str">
        <f t="shared" ca="1" si="314"/>
        <v/>
      </c>
      <c r="AC656" s="310" t="e">
        <f t="shared" ca="1" si="315"/>
        <v>#N/A</v>
      </c>
      <c r="AD656" s="323" t="e">
        <f t="shared" ca="1" si="316"/>
        <v>#N/A</v>
      </c>
      <c r="AE656" s="324" t="e">
        <f t="shared" ca="1" si="295"/>
        <v>#N/A</v>
      </c>
      <c r="AG656" s="306">
        <f t="shared" ca="1" si="317"/>
        <v>8.0949415816590502</v>
      </c>
      <c r="AH656" s="304">
        <f t="shared" ca="1" si="318"/>
        <v>-0.82411401571770471</v>
      </c>
    </row>
    <row r="657" spans="1:34" x14ac:dyDescent="0.2">
      <c r="A657" s="347">
        <f t="shared" ca="1" si="296"/>
        <v>0.1</v>
      </c>
      <c r="B657" s="304">
        <f t="shared" ca="1" si="297"/>
        <v>33.300000000000132</v>
      </c>
      <c r="D657" s="306">
        <f t="shared" ca="1" si="298"/>
        <v>-0.34767861261587019</v>
      </c>
      <c r="E657" s="307">
        <f t="shared" ca="1" si="299"/>
        <v>-9.0366632911248175</v>
      </c>
      <c r="F657" s="304">
        <f t="shared" ca="1" si="300"/>
        <v>9.0433491503332615</v>
      </c>
      <c r="G657" s="306">
        <f t="shared" ca="1" si="301"/>
        <v>23.965568558988927</v>
      </c>
      <c r="H657" s="307">
        <f t="shared" ca="1" si="302"/>
        <v>-54.287281270190149</v>
      </c>
      <c r="I657" s="304">
        <f t="shared" ca="1" si="303"/>
        <v>59.341868727436754</v>
      </c>
      <c r="J657" s="306">
        <f t="shared" ca="1" si="304"/>
        <v>972.87033334325952</v>
      </c>
      <c r="K657" s="307">
        <f t="shared" ca="1" si="305"/>
        <v>3665.9061118802488</v>
      </c>
      <c r="L657" s="304">
        <f t="shared" ca="1" si="290"/>
        <v>3792.8016434583537</v>
      </c>
      <c r="M657" s="306">
        <f t="shared" ca="1" si="306"/>
        <v>-1.1550683792790468</v>
      </c>
      <c r="N657" s="304">
        <f t="shared" ca="1" si="307"/>
        <v>-66.180543181705616</v>
      </c>
      <c r="P657" s="310">
        <f t="shared" ca="1" si="308"/>
        <v>23</v>
      </c>
      <c r="Q657" s="304">
        <f t="shared" ca="1" si="309"/>
        <v>0</v>
      </c>
      <c r="R657" s="306">
        <f t="shared" ca="1" si="310"/>
        <v>0</v>
      </c>
      <c r="S657" s="307">
        <f t="shared" ca="1" si="311"/>
        <v>5.6519999999999806</v>
      </c>
      <c r="T657" s="304">
        <f t="shared" ca="1" si="291"/>
        <v>55.446119999999816</v>
      </c>
      <c r="U657" s="311">
        <f t="shared" ca="1" si="292"/>
        <v>0</v>
      </c>
      <c r="V657" s="306">
        <f t="shared" ca="1" si="293"/>
        <v>0.84548907269187867</v>
      </c>
      <c r="W657" s="304">
        <f t="shared" ca="1" si="294"/>
        <v>4.9288374995757849</v>
      </c>
      <c r="Y657" s="314" t="str">
        <f t="shared" ca="1" si="312"/>
        <v/>
      </c>
      <c r="Z657" s="315" t="str">
        <f t="shared" ca="1" si="313"/>
        <v/>
      </c>
      <c r="AA657" s="316" t="str">
        <f t="shared" ca="1" si="314"/>
        <v/>
      </c>
      <c r="AC657" s="310" t="e">
        <f t="shared" ca="1" si="315"/>
        <v>#N/A</v>
      </c>
      <c r="AD657" s="323" t="e">
        <f t="shared" ca="1" si="316"/>
        <v>#N/A</v>
      </c>
      <c r="AE657" s="324" t="e">
        <f t="shared" ca="1" si="295"/>
        <v>#N/A</v>
      </c>
      <c r="AG657" s="306">
        <f t="shared" ca="1" si="317"/>
        <v>8.0994500505288141</v>
      </c>
      <c r="AH657" s="304">
        <f t="shared" ca="1" si="318"/>
        <v>-0.84789744837709913</v>
      </c>
    </row>
    <row r="658" spans="1:34" x14ac:dyDescent="0.2">
      <c r="A658" s="347">
        <f t="shared" ca="1" si="296"/>
        <v>0.1</v>
      </c>
      <c r="B658" s="304">
        <f t="shared" ca="1" si="297"/>
        <v>33.400000000000134</v>
      </c>
      <c r="D658" s="306">
        <f t="shared" ca="1" si="298"/>
        <v>-0.35218338630620427</v>
      </c>
      <c r="E658" s="307">
        <f t="shared" ca="1" si="299"/>
        <v>-9.0122272075860348</v>
      </c>
      <c r="F658" s="304">
        <f t="shared" ca="1" si="300"/>
        <v>9.0191059633837369</v>
      </c>
      <c r="G658" s="306">
        <f t="shared" ca="1" si="301"/>
        <v>23.930350220358307</v>
      </c>
      <c r="H658" s="307">
        <f t="shared" ca="1" si="302"/>
        <v>-55.188503990948753</v>
      </c>
      <c r="I658" s="304">
        <f t="shared" ca="1" si="303"/>
        <v>60.153409167128416</v>
      </c>
      <c r="J658" s="306">
        <f t="shared" ca="1" si="304"/>
        <v>975.26512928222689</v>
      </c>
      <c r="K658" s="307">
        <f t="shared" ca="1" si="305"/>
        <v>3660.4323226171919</v>
      </c>
      <c r="L658" s="304">
        <f t="shared" ca="1" si="290"/>
        <v>3788.1270914337824</v>
      </c>
      <c r="M658" s="306">
        <f t="shared" ca="1" si="306"/>
        <v>-1.161654632433218</v>
      </c>
      <c r="N658" s="304">
        <f t="shared" ca="1" si="307"/>
        <v>-66.557907690244349</v>
      </c>
      <c r="P658" s="310">
        <f t="shared" ca="1" si="308"/>
        <v>23</v>
      </c>
      <c r="Q658" s="304">
        <f t="shared" ca="1" si="309"/>
        <v>0</v>
      </c>
      <c r="R658" s="306">
        <f t="shared" ca="1" si="310"/>
        <v>0</v>
      </c>
      <c r="S658" s="307">
        <f t="shared" ca="1" si="311"/>
        <v>5.6519999999999806</v>
      </c>
      <c r="T658" s="304">
        <f t="shared" ca="1" si="291"/>
        <v>55.446119999999816</v>
      </c>
      <c r="U658" s="311">
        <f t="shared" ca="1" si="292"/>
        <v>0</v>
      </c>
      <c r="V658" s="306">
        <f t="shared" ca="1" si="293"/>
        <v>0.84596807580986255</v>
      </c>
      <c r="W658" s="304">
        <f t="shared" ca="1" si="294"/>
        <v>5.0674390056329139</v>
      </c>
      <c r="Y658" s="314" t="str">
        <f t="shared" ca="1" si="312"/>
        <v/>
      </c>
      <c r="Z658" s="315" t="str">
        <f t="shared" ca="1" si="313"/>
        <v/>
      </c>
      <c r="AA658" s="316" t="str">
        <f t="shared" ca="1" si="314"/>
        <v/>
      </c>
      <c r="AC658" s="310" t="e">
        <f t="shared" ca="1" si="315"/>
        <v>#N/A</v>
      </c>
      <c r="AD658" s="323" t="e">
        <f t="shared" ca="1" si="316"/>
        <v>#N/A</v>
      </c>
      <c r="AE658" s="324" t="e">
        <f t="shared" ca="1" si="295"/>
        <v>#N/A</v>
      </c>
      <c r="AG658" s="306">
        <f t="shared" ca="1" si="317"/>
        <v>8.102357551421747</v>
      </c>
      <c r="AH658" s="304">
        <f t="shared" ca="1" si="318"/>
        <v>-0.8720519284458248</v>
      </c>
    </row>
    <row r="659" spans="1:34" x14ac:dyDescent="0.2">
      <c r="A659" s="347">
        <f t="shared" ca="1" si="296"/>
        <v>0.1</v>
      </c>
      <c r="B659" s="304">
        <f t="shared" ca="1" si="297"/>
        <v>33.500000000000135</v>
      </c>
      <c r="D659" s="306">
        <f t="shared" ca="1" si="298"/>
        <v>-0.35667706604239546</v>
      </c>
      <c r="E659" s="307">
        <f t="shared" ca="1" si="299"/>
        <v>-8.9874264270476729</v>
      </c>
      <c r="F659" s="304">
        <f t="shared" ca="1" si="300"/>
        <v>8.9945012263624449</v>
      </c>
      <c r="G659" s="306">
        <f t="shared" ca="1" si="301"/>
        <v>23.894682513754066</v>
      </c>
      <c r="H659" s="307">
        <f t="shared" ca="1" si="302"/>
        <v>-56.087246633653521</v>
      </c>
      <c r="I659" s="304">
        <f t="shared" ca="1" si="303"/>
        <v>60.965031676998109</v>
      </c>
      <c r="J659" s="306">
        <f t="shared" ca="1" si="304"/>
        <v>977.65638091893254</v>
      </c>
      <c r="K659" s="307">
        <f t="shared" ca="1" si="305"/>
        <v>3654.8685350859619</v>
      </c>
      <c r="L659" s="304">
        <f t="shared" ca="1" si="290"/>
        <v>3783.3683415592659</v>
      </c>
      <c r="M659" s="306">
        <f t="shared" ca="1" si="306"/>
        <v>-1.1680561063235912</v>
      </c>
      <c r="N659" s="304">
        <f t="shared" ca="1" si="307"/>
        <v>-66.924685126825921</v>
      </c>
      <c r="P659" s="310">
        <f t="shared" ca="1" si="308"/>
        <v>23</v>
      </c>
      <c r="Q659" s="304">
        <f t="shared" ca="1" si="309"/>
        <v>0</v>
      </c>
      <c r="R659" s="306">
        <f t="shared" ca="1" si="310"/>
        <v>0</v>
      </c>
      <c r="S659" s="307">
        <f t="shared" ca="1" si="311"/>
        <v>5.6519999999999806</v>
      </c>
      <c r="T659" s="304">
        <f t="shared" ca="1" si="291"/>
        <v>55.446119999999816</v>
      </c>
      <c r="U659" s="311">
        <f t="shared" ca="1" si="292"/>
        <v>0</v>
      </c>
      <c r="V659" s="306">
        <f t="shared" ca="1" si="293"/>
        <v>0.8464551817238386</v>
      </c>
      <c r="W659" s="304">
        <f t="shared" ca="1" si="294"/>
        <v>5.2081038974149658</v>
      </c>
      <c r="Y659" s="314" t="str">
        <f t="shared" ca="1" si="312"/>
        <v/>
      </c>
      <c r="Z659" s="315" t="str">
        <f t="shared" ca="1" si="313"/>
        <v/>
      </c>
      <c r="AA659" s="316" t="str">
        <f t="shared" ca="1" si="314"/>
        <v/>
      </c>
      <c r="AC659" s="310" t="e">
        <f t="shared" ca="1" si="315"/>
        <v>#N/A</v>
      </c>
      <c r="AD659" s="323" t="e">
        <f t="shared" ca="1" si="316"/>
        <v>#N/A</v>
      </c>
      <c r="AE659" s="324" t="e">
        <f t="shared" ca="1" si="295"/>
        <v>#N/A</v>
      </c>
      <c r="AG659" s="306">
        <f t="shared" ca="1" si="317"/>
        <v>8.1037337514346071</v>
      </c>
      <c r="AH659" s="304">
        <f t="shared" ca="1" si="318"/>
        <v>-0.8965744879039157</v>
      </c>
    </row>
    <row r="660" spans="1:34" x14ac:dyDescent="0.2">
      <c r="A660" s="347">
        <f t="shared" ca="1" si="296"/>
        <v>0.1</v>
      </c>
      <c r="B660" s="304">
        <f t="shared" ca="1" si="297"/>
        <v>33.600000000000136</v>
      </c>
      <c r="D660" s="306">
        <f t="shared" ca="1" si="298"/>
        <v>-0.36115858845292126</v>
      </c>
      <c r="E660" s="307">
        <f t="shared" ca="1" si="299"/>
        <v>-8.9622636547792034</v>
      </c>
      <c r="F660" s="304">
        <f t="shared" ca="1" si="300"/>
        <v>8.9695376326647729</v>
      </c>
      <c r="G660" s="306">
        <f t="shared" ca="1" si="301"/>
        <v>23.858566654908774</v>
      </c>
      <c r="H660" s="307">
        <f t="shared" ca="1" si="302"/>
        <v>-56.983472999131443</v>
      </c>
      <c r="I660" s="304">
        <f t="shared" ca="1" si="303"/>
        <v>61.776592637255959</v>
      </c>
      <c r="J660" s="306">
        <f t="shared" ca="1" si="304"/>
        <v>980.04404337736571</v>
      </c>
      <c r="K660" s="307">
        <f t="shared" ca="1" si="305"/>
        <v>3649.2149991043225</v>
      </c>
      <c r="L660" s="304">
        <f t="shared" ca="1" si="290"/>
        <v>3778.525696174027</v>
      </c>
      <c r="M660" s="306">
        <f t="shared" ca="1" si="306"/>
        <v>-1.1742800882294244</v>
      </c>
      <c r="N660" s="304">
        <f t="shared" ca="1" si="307"/>
        <v>-67.28129302179596</v>
      </c>
      <c r="P660" s="310">
        <f t="shared" ca="1" si="308"/>
        <v>23</v>
      </c>
      <c r="Q660" s="304">
        <f t="shared" ca="1" si="309"/>
        <v>0</v>
      </c>
      <c r="R660" s="306">
        <f t="shared" ca="1" si="310"/>
        <v>0</v>
      </c>
      <c r="S660" s="307">
        <f t="shared" ca="1" si="311"/>
        <v>5.6519999999999806</v>
      </c>
      <c r="T660" s="304">
        <f t="shared" ca="1" si="291"/>
        <v>55.446119999999816</v>
      </c>
      <c r="U660" s="311">
        <f t="shared" ca="1" si="292"/>
        <v>0</v>
      </c>
      <c r="V660" s="306">
        <f t="shared" ca="1" si="293"/>
        <v>0.8469503798268061</v>
      </c>
      <c r="W660" s="304">
        <f t="shared" ca="1" si="294"/>
        <v>5.3508149552883193</v>
      </c>
      <c r="Y660" s="314" t="str">
        <f t="shared" ca="1" si="312"/>
        <v/>
      </c>
      <c r="Z660" s="315" t="str">
        <f t="shared" ca="1" si="313"/>
        <v/>
      </c>
      <c r="AA660" s="316" t="str">
        <f t="shared" ca="1" si="314"/>
        <v/>
      </c>
      <c r="AC660" s="310" t="e">
        <f t="shared" ca="1" si="315"/>
        <v>#N/A</v>
      </c>
      <c r="AD660" s="323" t="e">
        <f t="shared" ca="1" si="316"/>
        <v>#N/A</v>
      </c>
      <c r="AE660" s="324" t="e">
        <f t="shared" ca="1" si="295"/>
        <v>#N/A</v>
      </c>
      <c r="AG660" s="306">
        <f t="shared" ca="1" si="317"/>
        <v>8.1036441481852162</v>
      </c>
      <c r="AH660" s="304">
        <f t="shared" ca="1" si="318"/>
        <v>-0.92146211914631704</v>
      </c>
    </row>
    <row r="661" spans="1:34" x14ac:dyDescent="0.2">
      <c r="A661" s="347">
        <f t="shared" ca="1" si="296"/>
        <v>0.1</v>
      </c>
      <c r="B661" s="304">
        <f t="shared" ca="1" si="297"/>
        <v>33.700000000000138</v>
      </c>
      <c r="D661" s="306">
        <f t="shared" ca="1" si="298"/>
        <v>-0.36562693141831309</v>
      </c>
      <c r="E661" s="307">
        <f t="shared" ca="1" si="299"/>
        <v>-8.9367416573851859</v>
      </c>
      <c r="F661" s="304">
        <f t="shared" ca="1" si="300"/>
        <v>8.9442179369591663</v>
      </c>
      <c r="G661" s="306">
        <f t="shared" ca="1" si="301"/>
        <v>23.822003961766942</v>
      </c>
      <c r="H661" s="307">
        <f t="shared" ca="1" si="302"/>
        <v>-57.87714716486996</v>
      </c>
      <c r="I661" s="304">
        <f t="shared" ca="1" si="303"/>
        <v>62.587954405767682</v>
      </c>
      <c r="J661" s="306">
        <f t="shared" ca="1" si="304"/>
        <v>982.42807190819951</v>
      </c>
      <c r="K661" s="307">
        <f t="shared" ca="1" si="305"/>
        <v>3643.4719680961225</v>
      </c>
      <c r="L661" s="304">
        <f t="shared" ca="1" si="290"/>
        <v>3773.5994618898671</v>
      </c>
      <c r="M661" s="306">
        <f t="shared" ca="1" si="306"/>
        <v>-1.1803335151078513</v>
      </c>
      <c r="N661" s="304">
        <f t="shared" ca="1" si="307"/>
        <v>-67.628128833520876</v>
      </c>
      <c r="P661" s="310">
        <f t="shared" ca="1" si="308"/>
        <v>23</v>
      </c>
      <c r="Q661" s="304">
        <f t="shared" ca="1" si="309"/>
        <v>0</v>
      </c>
      <c r="R661" s="306">
        <f t="shared" ca="1" si="310"/>
        <v>0</v>
      </c>
      <c r="S661" s="307">
        <f t="shared" ca="1" si="311"/>
        <v>5.6519999999999806</v>
      </c>
      <c r="T661" s="304">
        <f t="shared" ca="1" si="291"/>
        <v>55.446119999999816</v>
      </c>
      <c r="U661" s="311">
        <f t="shared" ca="1" si="292"/>
        <v>0</v>
      </c>
      <c r="V661" s="306">
        <f t="shared" ca="1" si="293"/>
        <v>0.84745365934915606</v>
      </c>
      <c r="W661" s="304">
        <f t="shared" ca="1" si="294"/>
        <v>5.4955547421223496</v>
      </c>
      <c r="Y661" s="314" t="str">
        <f t="shared" ca="1" si="312"/>
        <v/>
      </c>
      <c r="Z661" s="315" t="str">
        <f t="shared" ca="1" si="313"/>
        <v/>
      </c>
      <c r="AA661" s="316" t="str">
        <f t="shared" ca="1" si="314"/>
        <v/>
      </c>
      <c r="AC661" s="310" t="e">
        <f t="shared" ca="1" si="315"/>
        <v>#N/A</v>
      </c>
      <c r="AD661" s="323" t="e">
        <f t="shared" ca="1" si="316"/>
        <v>#N/A</v>
      </c>
      <c r="AE661" s="324" t="e">
        <f t="shared" ca="1" si="295"/>
        <v>#N/A</v>
      </c>
      <c r="AG661" s="306">
        <f t="shared" ca="1" si="317"/>
        <v>8.1021503623347293</v>
      </c>
      <c r="AH661" s="304">
        <f t="shared" ca="1" si="318"/>
        <v>-0.94671177552872221</v>
      </c>
    </row>
    <row r="662" spans="1:34" x14ac:dyDescent="0.2">
      <c r="A662" s="347">
        <f t="shared" ca="1" si="296"/>
        <v>0.1</v>
      </c>
      <c r="B662" s="304">
        <f t="shared" ca="1" si="297"/>
        <v>33.800000000000139</v>
      </c>
      <c r="D662" s="306">
        <f t="shared" ca="1" si="298"/>
        <v>-0.37008111180542291</v>
      </c>
      <c r="E662" s="307">
        <f t="shared" ca="1" si="299"/>
        <v>-8.9108632604848061</v>
      </c>
      <c r="F662" s="304">
        <f t="shared" ca="1" si="300"/>
        <v>8.9185449528705654</v>
      </c>
      <c r="G662" s="306">
        <f t="shared" ca="1" si="301"/>
        <v>23.784995850586398</v>
      </c>
      <c r="H662" s="307">
        <f t="shared" ca="1" si="302"/>
        <v>-58.768233490918441</v>
      </c>
      <c r="I662" s="304">
        <f t="shared" ca="1" si="303"/>
        <v>63.398984970230551</v>
      </c>
      <c r="J662" s="306">
        <f t="shared" ca="1" si="304"/>
        <v>984.80842189881719</v>
      </c>
      <c r="K662" s="307">
        <f t="shared" ca="1" si="305"/>
        <v>3637.639699063333</v>
      </c>
      <c r="L662" s="304">
        <f t="shared" ca="1" si="290"/>
        <v>3768.5899495758904</v>
      </c>
      <c r="M662" s="306">
        <f t="shared" ca="1" si="306"/>
        <v>-1.1862229923542373</v>
      </c>
      <c r="N662" s="304">
        <f t="shared" ca="1" si="307"/>
        <v>-67.965571023277121</v>
      </c>
      <c r="P662" s="310">
        <f t="shared" ca="1" si="308"/>
        <v>23</v>
      </c>
      <c r="Q662" s="304">
        <f t="shared" ca="1" si="309"/>
        <v>0</v>
      </c>
      <c r="R662" s="306">
        <f t="shared" ca="1" si="310"/>
        <v>0</v>
      </c>
      <c r="S662" s="307">
        <f t="shared" ca="1" si="311"/>
        <v>5.6519999999999806</v>
      </c>
      <c r="T662" s="304">
        <f t="shared" ca="1" si="291"/>
        <v>55.446119999999816</v>
      </c>
      <c r="U662" s="311">
        <f t="shared" ca="1" si="292"/>
        <v>0</v>
      </c>
      <c r="V662" s="306">
        <f t="shared" ca="1" si="293"/>
        <v>0.84796500935927543</v>
      </c>
      <c r="W662" s="304">
        <f t="shared" ca="1" si="294"/>
        <v>5.6423056065072359</v>
      </c>
      <c r="Y662" s="314" t="str">
        <f t="shared" ca="1" si="312"/>
        <v/>
      </c>
      <c r="Z662" s="315" t="str">
        <f t="shared" ca="1" si="313"/>
        <v/>
      </c>
      <c r="AA662" s="316" t="str">
        <f t="shared" ca="1" si="314"/>
        <v/>
      </c>
      <c r="AC662" s="310" t="e">
        <f t="shared" ca="1" si="315"/>
        <v>#N/A</v>
      </c>
      <c r="AD662" s="323" t="e">
        <f t="shared" ca="1" si="316"/>
        <v>#N/A</v>
      </c>
      <c r="AE662" s="324" t="e">
        <f t="shared" ca="1" si="295"/>
        <v>#N/A</v>
      </c>
      <c r="AG662" s="306">
        <f t="shared" ca="1" si="317"/>
        <v>8.0993104087580488</v>
      </c>
      <c r="AH662" s="304">
        <f t="shared" ca="1" si="318"/>
        <v>-0.97232037192540133</v>
      </c>
    </row>
    <row r="663" spans="1:34" x14ac:dyDescent="0.2">
      <c r="A663" s="347">
        <f t="shared" ca="1" si="296"/>
        <v>0.1</v>
      </c>
      <c r="B663" s="304">
        <f t="shared" ca="1" si="297"/>
        <v>33.900000000000141</v>
      </c>
      <c r="D663" s="306">
        <f t="shared" ca="1" si="298"/>
        <v>-0.37452018336221277</v>
      </c>
      <c r="E663" s="307">
        <f t="shared" ca="1" si="299"/>
        <v>-8.8846313465364997</v>
      </c>
      <c r="F663" s="304">
        <f t="shared" ca="1" si="300"/>
        <v>8.8925215508091213</v>
      </c>
      <c r="G663" s="306">
        <f t="shared" ca="1" si="301"/>
        <v>23.747543832250177</v>
      </c>
      <c r="H663" s="307">
        <f t="shared" ca="1" si="302"/>
        <v>-59.656696625572089</v>
      </c>
      <c r="I663" s="304">
        <f t="shared" ca="1" si="303"/>
        <v>64.209557624548296</v>
      </c>
      <c r="J663" s="306">
        <f t="shared" ca="1" si="304"/>
        <v>987.18504888295899</v>
      </c>
      <c r="K663" s="307">
        <f t="shared" ca="1" si="305"/>
        <v>3631.7184525575085</v>
      </c>
      <c r="L663" s="304">
        <f t="shared" ca="1" si="290"/>
        <v>3763.4974743428161</v>
      </c>
      <c r="M663" s="306">
        <f t="shared" ca="1" si="306"/>
        <v>-1.1919548115526477</v>
      </c>
      <c r="N663" s="304">
        <f t="shared" ca="1" si="307"/>
        <v>-68.293980072278089</v>
      </c>
      <c r="P663" s="310">
        <f t="shared" ca="1" si="308"/>
        <v>23</v>
      </c>
      <c r="Q663" s="304">
        <f t="shared" ca="1" si="309"/>
        <v>0</v>
      </c>
      <c r="R663" s="306">
        <f t="shared" ca="1" si="310"/>
        <v>0</v>
      </c>
      <c r="S663" s="307">
        <f t="shared" ca="1" si="311"/>
        <v>5.6519999999999806</v>
      </c>
      <c r="T663" s="304">
        <f t="shared" ca="1" si="291"/>
        <v>55.446119999999816</v>
      </c>
      <c r="U663" s="311">
        <f t="shared" ca="1" si="292"/>
        <v>0</v>
      </c>
      <c r="V663" s="306">
        <f t="shared" ca="1" si="293"/>
        <v>0.84848441876418212</v>
      </c>
      <c r="W663" s="304">
        <f t="shared" ca="1" si="294"/>
        <v>5.7910496860340901</v>
      </c>
      <c r="Y663" s="314" t="str">
        <f t="shared" ca="1" si="312"/>
        <v/>
      </c>
      <c r="Z663" s="315" t="str">
        <f t="shared" ca="1" si="313"/>
        <v/>
      </c>
      <c r="AA663" s="316" t="str">
        <f t="shared" ca="1" si="314"/>
        <v/>
      </c>
      <c r="AC663" s="310" t="e">
        <f t="shared" ca="1" si="315"/>
        <v>#N/A</v>
      </c>
      <c r="AD663" s="323" t="e">
        <f t="shared" ca="1" si="316"/>
        <v>#N/A</v>
      </c>
      <c r="AE663" s="324" t="e">
        <f t="shared" ca="1" si="295"/>
        <v>#N/A</v>
      </c>
      <c r="AG663" s="306">
        <f t="shared" ca="1" si="317"/>
        <v>8.0951789478608838</v>
      </c>
      <c r="AH663" s="304">
        <f t="shared" ca="1" si="318"/>
        <v>-0.9982847852985236</v>
      </c>
    </row>
    <row r="664" spans="1:34" x14ac:dyDescent="0.2">
      <c r="A664" s="347">
        <f t="shared" ca="1" si="296"/>
        <v>0.1</v>
      </c>
      <c r="B664" s="304">
        <f t="shared" ca="1" si="297"/>
        <v>34.000000000000142</v>
      </c>
      <c r="D664" s="306">
        <f t="shared" ca="1" si="298"/>
        <v>-0.3789432347611868</v>
      </c>
      <c r="E664" s="307">
        <f t="shared" ca="1" si="299"/>
        <v>-8.8580488527929173</v>
      </c>
      <c r="F664" s="304">
        <f t="shared" ca="1" si="300"/>
        <v>8.8661506559293919</v>
      </c>
      <c r="G664" s="306">
        <f t="shared" ca="1" si="301"/>
        <v>23.709649508774056</v>
      </c>
      <c r="H664" s="307">
        <f t="shared" ca="1" si="302"/>
        <v>-60.54250151085138</v>
      </c>
      <c r="I664" s="304">
        <f t="shared" ca="1" si="303"/>
        <v>65.01955066762882</v>
      </c>
      <c r="J664" s="306">
        <f t="shared" ca="1" si="304"/>
        <v>989.55790855001021</v>
      </c>
      <c r="K664" s="307">
        <f t="shared" ca="1" si="305"/>
        <v>3625.7084926506873</v>
      </c>
      <c r="L664" s="304">
        <f t="shared" ca="1" si="290"/>
        <v>3758.3223555268896</v>
      </c>
      <c r="M664" s="306">
        <f t="shared" ca="1" si="306"/>
        <v>-1.1975349672589495</v>
      </c>
      <c r="N664" s="304">
        <f t="shared" ca="1" si="307"/>
        <v>-68.613699443275024</v>
      </c>
      <c r="P664" s="310">
        <f t="shared" ca="1" si="308"/>
        <v>23</v>
      </c>
      <c r="Q664" s="304">
        <f t="shared" ca="1" si="309"/>
        <v>0</v>
      </c>
      <c r="R664" s="306">
        <f t="shared" ca="1" si="310"/>
        <v>0</v>
      </c>
      <c r="S664" s="307">
        <f t="shared" ca="1" si="311"/>
        <v>5.6519999999999806</v>
      </c>
      <c r="T664" s="304">
        <f t="shared" ca="1" si="291"/>
        <v>55.446119999999816</v>
      </c>
      <c r="U664" s="311">
        <f t="shared" ca="1" si="292"/>
        <v>0</v>
      </c>
      <c r="V664" s="306">
        <f t="shared" ca="1" si="293"/>
        <v>0.84901187631018837</v>
      </c>
      <c r="W664" s="304">
        <f t="shared" ca="1" si="294"/>
        <v>5.9417689106348694</v>
      </c>
      <c r="Y664" s="314" t="str">
        <f t="shared" ca="1" si="312"/>
        <v/>
      </c>
      <c r="Z664" s="315" t="str">
        <f t="shared" ca="1" si="313"/>
        <v/>
      </c>
      <c r="AA664" s="316" t="str">
        <f t="shared" ca="1" si="314"/>
        <v/>
      </c>
      <c r="AC664" s="310">
        <f t="shared" ca="1" si="315"/>
        <v>34.000000000000142</v>
      </c>
      <c r="AD664" s="323">
        <f t="shared" ca="1" si="316"/>
        <v>989.55790855001021</v>
      </c>
      <c r="AE664" s="324" t="e">
        <f t="shared" ca="1" si="295"/>
        <v>#N/A</v>
      </c>
      <c r="AG664" s="306">
        <f t="shared" ca="1" si="317"/>
        <v>8.0898075184611944</v>
      </c>
      <c r="AH664" s="304">
        <f t="shared" ca="1" si="318"/>
        <v>-1.024601855278505</v>
      </c>
    </row>
    <row r="665" spans="1:34" x14ac:dyDescent="0.2">
      <c r="A665" s="347">
        <f t="shared" ca="1" si="296"/>
        <v>0.1</v>
      </c>
      <c r="B665" s="304">
        <f t="shared" ca="1" si="297"/>
        <v>34.100000000000144</v>
      </c>
      <c r="D665" s="306">
        <f t="shared" ca="1" si="298"/>
        <v>-0.38334938778043576</v>
      </c>
      <c r="E665" s="307">
        <f t="shared" ca="1" si="299"/>
        <v>-8.831118769373111</v>
      </c>
      <c r="F665" s="304">
        <f t="shared" ca="1" si="300"/>
        <v>8.8394352462069481</v>
      </c>
      <c r="G665" s="306">
        <f t="shared" ca="1" si="301"/>
        <v>23.671314569996014</v>
      </c>
      <c r="H665" s="307">
        <f t="shared" ca="1" si="302"/>
        <v>-61.425613387788694</v>
      </c>
      <c r="I665" s="304">
        <f t="shared" ca="1" si="303"/>
        <v>65.828847122958123</v>
      </c>
      <c r="J665" s="306">
        <f t="shared" ca="1" si="304"/>
        <v>991.92695675394873</v>
      </c>
      <c r="K665" s="307">
        <f t="shared" ca="1" si="305"/>
        <v>3619.6100869057555</v>
      </c>
      <c r="L665" s="304">
        <f t="shared" ca="1" si="290"/>
        <v>3753.0649166734433</v>
      </c>
      <c r="M665" s="306">
        <f t="shared" ca="1" si="306"/>
        <v>-1.2029691728599747</v>
      </c>
      <c r="N665" s="304">
        <f t="shared" ca="1" si="307"/>
        <v>-68.925056489220125</v>
      </c>
      <c r="P665" s="310">
        <f t="shared" ca="1" si="308"/>
        <v>23</v>
      </c>
      <c r="Q665" s="304">
        <f t="shared" ca="1" si="309"/>
        <v>0</v>
      </c>
      <c r="R665" s="306">
        <f t="shared" ca="1" si="310"/>
        <v>0</v>
      </c>
      <c r="S665" s="307">
        <f t="shared" ca="1" si="311"/>
        <v>5.6519999999999806</v>
      </c>
      <c r="T665" s="304">
        <f t="shared" ca="1" si="291"/>
        <v>55.446119999999816</v>
      </c>
      <c r="U665" s="311">
        <f t="shared" ca="1" si="292"/>
        <v>0</v>
      </c>
      <c r="V665" s="306">
        <f t="shared" ca="1" si="293"/>
        <v>0.84954737058359109</v>
      </c>
      <c r="W665" s="304">
        <f t="shared" ca="1" si="294"/>
        <v>6.0944450059797175</v>
      </c>
      <c r="Y665" s="314" t="str">
        <f t="shared" ca="1" si="312"/>
        <v/>
      </c>
      <c r="Z665" s="315" t="str">
        <f t="shared" ca="1" si="313"/>
        <v/>
      </c>
      <c r="AA665" s="316" t="str">
        <f t="shared" ca="1" si="314"/>
        <v/>
      </c>
      <c r="AC665" s="310" t="e">
        <f t="shared" ca="1" si="315"/>
        <v>#N/A</v>
      </c>
      <c r="AD665" s="323" t="e">
        <f t="shared" ca="1" si="316"/>
        <v>#N/A</v>
      </c>
      <c r="AE665" s="324" t="e">
        <f t="shared" ca="1" si="295"/>
        <v>#N/A</v>
      </c>
      <c r="AG665" s="306">
        <f t="shared" ca="1" si="317"/>
        <v>8.0832447535701988</v>
      </c>
      <c r="AH665" s="304">
        <f t="shared" ca="1" si="318"/>
        <v>-1.0512683847549344</v>
      </c>
    </row>
    <row r="666" spans="1:34" x14ac:dyDescent="0.2">
      <c r="A666" s="347">
        <f t="shared" ca="1" si="296"/>
        <v>0.1</v>
      </c>
      <c r="B666" s="304">
        <f t="shared" ca="1" si="297"/>
        <v>34.200000000000145</v>
      </c>
      <c r="D666" s="306">
        <f t="shared" ca="1" si="298"/>
        <v>-0.38773779561208577</v>
      </c>
      <c r="E666" s="307">
        <f t="shared" ca="1" si="299"/>
        <v>-8.8038441374400858</v>
      </c>
      <c r="F666" s="304">
        <f t="shared" ca="1" si="300"/>
        <v>8.8123783506204667</v>
      </c>
      <c r="G666" s="306">
        <f t="shared" ca="1" si="301"/>
        <v>23.632540790434806</v>
      </c>
      <c r="H666" s="307">
        <f t="shared" ca="1" si="302"/>
        <v>-62.305997801532705</v>
      </c>
      <c r="I666" s="304">
        <f t="shared" ca="1" si="303"/>
        <v>66.637334477424616</v>
      </c>
      <c r="J666" s="306">
        <f t="shared" ca="1" si="304"/>
        <v>994.29214952197026</v>
      </c>
      <c r="K666" s="307">
        <f t="shared" ca="1" si="305"/>
        <v>3613.4235063462893</v>
      </c>
      <c r="L666" s="304">
        <f t="shared" ca="1" si="290"/>
        <v>3747.7254855201081</v>
      </c>
      <c r="M666" s="306">
        <f t="shared" ca="1" si="306"/>
        <v>-1.2082628755524221</v>
      </c>
      <c r="N666" s="304">
        <f t="shared" ca="1" si="307"/>
        <v>-69.228363311494405</v>
      </c>
      <c r="P666" s="310">
        <f t="shared" ca="1" si="308"/>
        <v>23</v>
      </c>
      <c r="Q666" s="304">
        <f t="shared" ca="1" si="309"/>
        <v>0</v>
      </c>
      <c r="R666" s="306">
        <f t="shared" ca="1" si="310"/>
        <v>0</v>
      </c>
      <c r="S666" s="307">
        <f t="shared" ca="1" si="311"/>
        <v>5.6519999999999806</v>
      </c>
      <c r="T666" s="304">
        <f t="shared" ca="1" si="291"/>
        <v>55.446119999999816</v>
      </c>
      <c r="U666" s="311">
        <f t="shared" ca="1" si="292"/>
        <v>0</v>
      </c>
      <c r="V666" s="306">
        <f t="shared" ca="1" si="293"/>
        <v>0.85009089001138993</v>
      </c>
      <c r="W666" s="304">
        <f t="shared" ca="1" si="294"/>
        <v>6.2490594969294087</v>
      </c>
      <c r="Y666" s="314" t="str">
        <f t="shared" ca="1" si="312"/>
        <v/>
      </c>
      <c r="Z666" s="315" t="str">
        <f t="shared" ca="1" si="313"/>
        <v/>
      </c>
      <c r="AA666" s="316" t="str">
        <f t="shared" ca="1" si="314"/>
        <v/>
      </c>
      <c r="AC666" s="310" t="e">
        <f t="shared" ca="1" si="315"/>
        <v>#N/A</v>
      </c>
      <c r="AD666" s="323" t="e">
        <f t="shared" ca="1" si="316"/>
        <v>#N/A</v>
      </c>
      <c r="AE666" s="324" t="e">
        <f t="shared" ca="1" si="295"/>
        <v>#N/A</v>
      </c>
      <c r="AG666" s="306">
        <f t="shared" ca="1" si="317"/>
        <v>8.07553658032597</v>
      </c>
      <c r="AH666" s="304">
        <f t="shared" ca="1" si="318"/>
        <v>-1.0782811404776607</v>
      </c>
    </row>
    <row r="667" spans="1:34" x14ac:dyDescent="0.2">
      <c r="A667" s="347">
        <f t="shared" ca="1" si="296"/>
        <v>0.1</v>
      </c>
      <c r="B667" s="304">
        <f t="shared" ca="1" si="297"/>
        <v>34.300000000000146</v>
      </c>
      <c r="D667" s="306">
        <f t="shared" ca="1" si="298"/>
        <v>-0.39210764128868603</v>
      </c>
      <c r="E667" s="307">
        <f t="shared" ca="1" si="299"/>
        <v>-8.7762280474732002</v>
      </c>
      <c r="F667" s="304">
        <f t="shared" ca="1" si="300"/>
        <v>8.7849830474288471</v>
      </c>
      <c r="G667" s="306">
        <f t="shared" ca="1" si="301"/>
        <v>23.593330026305939</v>
      </c>
      <c r="H667" s="307">
        <f t="shared" ca="1" si="302"/>
        <v>-63.183620606280023</v>
      </c>
      <c r="I667" s="304">
        <f t="shared" ca="1" si="303"/>
        <v>67.44490443798199</v>
      </c>
      <c r="J667" s="306">
        <f t="shared" ca="1" si="304"/>
        <v>996.65344306280724</v>
      </c>
      <c r="K667" s="307">
        <f t="shared" ca="1" si="305"/>
        <v>3607.1490254258988</v>
      </c>
      <c r="L667" s="304">
        <f t="shared" ca="1" si="290"/>
        <v>3742.3043939797253</v>
      </c>
      <c r="M667" s="306">
        <f t="shared" ca="1" si="306"/>
        <v>-1.2134212704848801</v>
      </c>
      <c r="N667" s="304">
        <f t="shared" ca="1" si="307"/>
        <v>-69.523917570185915</v>
      </c>
      <c r="P667" s="310">
        <f t="shared" ca="1" si="308"/>
        <v>23</v>
      </c>
      <c r="Q667" s="304">
        <f t="shared" ca="1" si="309"/>
        <v>0</v>
      </c>
      <c r="R667" s="306">
        <f t="shared" ca="1" si="310"/>
        <v>0</v>
      </c>
      <c r="S667" s="307">
        <f t="shared" ca="1" si="311"/>
        <v>5.6519999999999806</v>
      </c>
      <c r="T667" s="304">
        <f t="shared" ca="1" si="291"/>
        <v>55.446119999999816</v>
      </c>
      <c r="U667" s="311">
        <f t="shared" ca="1" si="292"/>
        <v>0</v>
      </c>
      <c r="V667" s="306">
        <f t="shared" ca="1" si="293"/>
        <v>0.85064242286202918</v>
      </c>
      <c r="W667" s="304">
        <f t="shared" ca="1" si="294"/>
        <v>6.4055937110407717</v>
      </c>
      <c r="Y667" s="314" t="str">
        <f t="shared" ca="1" si="312"/>
        <v/>
      </c>
      <c r="Z667" s="315" t="str">
        <f t="shared" ca="1" si="313"/>
        <v/>
      </c>
      <c r="AA667" s="316" t="str">
        <f t="shared" ca="1" si="314"/>
        <v/>
      </c>
      <c r="AC667" s="310" t="e">
        <f t="shared" ca="1" si="315"/>
        <v>#N/A</v>
      </c>
      <c r="AD667" s="323" t="e">
        <f t="shared" ca="1" si="316"/>
        <v>#N/A</v>
      </c>
      <c r="AE667" s="324" t="e">
        <f t="shared" ca="1" si="295"/>
        <v>#N/A</v>
      </c>
      <c r="AG667" s="306">
        <f t="shared" ca="1" si="317"/>
        <v>8.066726405251524</v>
      </c>
      <c r="AH667" s="304">
        <f t="shared" ca="1" si="318"/>
        <v>-1.1056368536676273</v>
      </c>
    </row>
    <row r="668" spans="1:34" x14ac:dyDescent="0.2">
      <c r="A668" s="347">
        <f t="shared" ca="1" si="296"/>
        <v>0.1</v>
      </c>
      <c r="B668" s="304">
        <f t="shared" ca="1" si="297"/>
        <v>34.400000000000148</v>
      </c>
      <c r="D668" s="306">
        <f t="shared" ca="1" si="298"/>
        <v>-0.396458136218792</v>
      </c>
      <c r="E668" s="307">
        <f t="shared" ca="1" si="299"/>
        <v>-8.7482736376259176</v>
      </c>
      <c r="F668" s="304">
        <f t="shared" ca="1" si="300"/>
        <v>8.7572524625338222</v>
      </c>
      <c r="G668" s="306">
        <f t="shared" ca="1" si="301"/>
        <v>23.553684212684061</v>
      </c>
      <c r="H668" s="307">
        <f t="shared" ca="1" si="302"/>
        <v>-64.058447970042621</v>
      </c>
      <c r="I668" s="304">
        <f t="shared" ca="1" si="303"/>
        <v>68.251452704843572</v>
      </c>
      <c r="J668" s="306">
        <f t="shared" ca="1" si="304"/>
        <v>999.01079377475673</v>
      </c>
      <c r="K668" s="307">
        <f t="shared" ca="1" si="305"/>
        <v>3600.7869219970826</v>
      </c>
      <c r="L668" s="304">
        <f t="shared" ca="1" si="290"/>
        <v>3736.8019781229636</v>
      </c>
      <c r="M668" s="306">
        <f t="shared" ca="1" si="306"/>
        <v>-1.2184493141056623</v>
      </c>
      <c r="N668" s="304">
        <f t="shared" ca="1" si="307"/>
        <v>-69.812003248864414</v>
      </c>
      <c r="P668" s="310">
        <f t="shared" ca="1" si="308"/>
        <v>23</v>
      </c>
      <c r="Q668" s="304">
        <f t="shared" ca="1" si="309"/>
        <v>0</v>
      </c>
      <c r="R668" s="306">
        <f t="shared" ca="1" si="310"/>
        <v>0</v>
      </c>
      <c r="S668" s="307">
        <f t="shared" ca="1" si="311"/>
        <v>5.6519999999999806</v>
      </c>
      <c r="T668" s="304">
        <f t="shared" ca="1" si="291"/>
        <v>55.446119999999816</v>
      </c>
      <c r="U668" s="311">
        <f t="shared" ca="1" si="292"/>
        <v>0</v>
      </c>
      <c r="V668" s="306">
        <f t="shared" ca="1" si="293"/>
        <v>0.85120195724616354</v>
      </c>
      <c r="W668" s="304">
        <f t="shared" ca="1" si="294"/>
        <v>6.5640287821229455</v>
      </c>
      <c r="Y668" s="314" t="str">
        <f t="shared" ca="1" si="312"/>
        <v/>
      </c>
      <c r="Z668" s="315" t="str">
        <f t="shared" ca="1" si="313"/>
        <v/>
      </c>
      <c r="AA668" s="316" t="str">
        <f t="shared" ca="1" si="314"/>
        <v/>
      </c>
      <c r="AC668" s="310" t="e">
        <f t="shared" ca="1" si="315"/>
        <v>#N/A</v>
      </c>
      <c r="AD668" s="323" t="e">
        <f t="shared" ca="1" si="316"/>
        <v>#N/A</v>
      </c>
      <c r="AE668" s="324" t="e">
        <f t="shared" ca="1" si="295"/>
        <v>#N/A</v>
      </c>
      <c r="AG668" s="306">
        <f t="shared" ca="1" si="317"/>
        <v>8.0568552859308031</v>
      </c>
      <c r="AH668" s="304">
        <f t="shared" ca="1" si="318"/>
        <v>-1.1333322206370831</v>
      </c>
    </row>
    <row r="669" spans="1:34" x14ac:dyDescent="0.2">
      <c r="A669" s="347">
        <f t="shared" ca="1" si="296"/>
        <v>0.1</v>
      </c>
      <c r="B669" s="304">
        <f t="shared" ca="1" si="297"/>
        <v>34.500000000000149</v>
      </c>
      <c r="D669" s="306">
        <f t="shared" ca="1" si="298"/>
        <v>-0.40078851882364264</v>
      </c>
      <c r="E669" s="307">
        <f t="shared" ca="1" si="299"/>
        <v>-8.7199840921604554</v>
      </c>
      <c r="F669" s="304">
        <f t="shared" ca="1" si="300"/>
        <v>8.7291897679196016</v>
      </c>
      <c r="G669" s="306">
        <f t="shared" ca="1" si="301"/>
        <v>23.513605360801698</v>
      </c>
      <c r="H669" s="307">
        <f t="shared" ca="1" si="302"/>
        <v>-64.930446379258669</v>
      </c>
      <c r="I669" s="304">
        <f t="shared" ca="1" si="303"/>
        <v>69.056878759999776</v>
      </c>
      <c r="J669" s="306">
        <f t="shared" ca="1" si="304"/>
        <v>1001.364158253431</v>
      </c>
      <c r="K669" s="307">
        <f t="shared" ca="1" si="305"/>
        <v>3594.3374772796174</v>
      </c>
      <c r="L669" s="304">
        <f t="shared" ca="1" si="290"/>
        <v>3731.21857816068</v>
      </c>
      <c r="M669" s="306">
        <f t="shared" ca="1" si="306"/>
        <v>-1.223351736758125</v>
      </c>
      <c r="N669" s="304">
        <f t="shared" ca="1" si="307"/>
        <v>-70.092891376239862</v>
      </c>
      <c r="P669" s="310">
        <f t="shared" ca="1" si="308"/>
        <v>23</v>
      </c>
      <c r="Q669" s="304">
        <f t="shared" ca="1" si="309"/>
        <v>0</v>
      </c>
      <c r="R669" s="306">
        <f t="shared" ca="1" si="310"/>
        <v>0</v>
      </c>
      <c r="S669" s="307">
        <f t="shared" ca="1" si="311"/>
        <v>5.6519999999999806</v>
      </c>
      <c r="T669" s="304">
        <f t="shared" ca="1" si="291"/>
        <v>55.446119999999816</v>
      </c>
      <c r="U669" s="311">
        <f t="shared" ca="1" si="292"/>
        <v>0</v>
      </c>
      <c r="V669" s="306">
        <f t="shared" ca="1" si="293"/>
        <v>0.85176948111745043</v>
      </c>
      <c r="W669" s="304">
        <f t="shared" ca="1" si="294"/>
        <v>6.7243456538425495</v>
      </c>
      <c r="Y669" s="314" t="str">
        <f t="shared" ca="1" si="312"/>
        <v/>
      </c>
      <c r="Z669" s="315" t="str">
        <f t="shared" ca="1" si="313"/>
        <v/>
      </c>
      <c r="AA669" s="316" t="str">
        <f t="shared" ca="1" si="314"/>
        <v/>
      </c>
      <c r="AC669" s="310" t="e">
        <f t="shared" ca="1" si="315"/>
        <v>#N/A</v>
      </c>
      <c r="AD669" s="323" t="e">
        <f t="shared" ca="1" si="316"/>
        <v>#N/A</v>
      </c>
      <c r="AE669" s="324" t="e">
        <f t="shared" ca="1" si="295"/>
        <v>#N/A</v>
      </c>
      <c r="AG669" s="306">
        <f t="shared" ca="1" si="317"/>
        <v>8.0459620901204225</v>
      </c>
      <c r="AH669" s="304">
        <f t="shared" ca="1" si="318"/>
        <v>-1.1613639034187841</v>
      </c>
    </row>
    <row r="670" spans="1:34" x14ac:dyDescent="0.2">
      <c r="A670" s="347">
        <f t="shared" ca="1" si="296"/>
        <v>0.1</v>
      </c>
      <c r="B670" s="304">
        <f t="shared" ca="1" si="297"/>
        <v>34.600000000000151</v>
      </c>
      <c r="D670" s="306">
        <f t="shared" ca="1" si="298"/>
        <v>-0.40509805326745746</v>
      </c>
      <c r="E670" s="307">
        <f t="shared" ca="1" si="299"/>
        <v>-8.6913626399517021</v>
      </c>
      <c r="F670" s="304">
        <f t="shared" ca="1" si="300"/>
        <v>8.7007981801619376</v>
      </c>
      <c r="G670" s="306">
        <f t="shared" ca="1" si="301"/>
        <v>23.473095555474952</v>
      </c>
      <c r="H670" s="307">
        <f t="shared" ca="1" si="302"/>
        <v>-65.799582643253842</v>
      </c>
      <c r="I670" s="304">
        <f t="shared" ca="1" si="303"/>
        <v>69.861085669941104</v>
      </c>
      <c r="J670" s="306">
        <f t="shared" ca="1" si="304"/>
        <v>1003.7134932992449</v>
      </c>
      <c r="K670" s="307">
        <f t="shared" ca="1" si="305"/>
        <v>3587.8009758284916</v>
      </c>
      <c r="L670" s="304">
        <f t="shared" ca="1" si="290"/>
        <v>3725.5545384260381</v>
      </c>
      <c r="M670" s="306">
        <f t="shared" ca="1" si="306"/>
        <v>-1.2281330545638984</v>
      </c>
      <c r="N670" s="304">
        <f t="shared" ca="1" si="307"/>
        <v>-70.366840707021424</v>
      </c>
      <c r="P670" s="310">
        <f t="shared" ca="1" si="308"/>
        <v>23</v>
      </c>
      <c r="Q670" s="304">
        <f t="shared" ca="1" si="309"/>
        <v>0</v>
      </c>
      <c r="R670" s="306">
        <f t="shared" ca="1" si="310"/>
        <v>0</v>
      </c>
      <c r="S670" s="307">
        <f t="shared" ca="1" si="311"/>
        <v>5.6519999999999806</v>
      </c>
      <c r="T670" s="304">
        <f t="shared" ca="1" si="291"/>
        <v>55.446119999999816</v>
      </c>
      <c r="U670" s="311">
        <f t="shared" ca="1" si="292"/>
        <v>0</v>
      </c>
      <c r="V670" s="306">
        <f t="shared" ca="1" si="293"/>
        <v>0.85234498227336108</v>
      </c>
      <c r="W670" s="304">
        <f t="shared" ca="1" si="294"/>
        <v>6.8865250833757177</v>
      </c>
      <c r="Y670" s="314" t="str">
        <f t="shared" ca="1" si="312"/>
        <v/>
      </c>
      <c r="Z670" s="315" t="str">
        <f t="shared" ca="1" si="313"/>
        <v/>
      </c>
      <c r="AA670" s="316" t="str">
        <f t="shared" ca="1" si="314"/>
        <v/>
      </c>
      <c r="AC670" s="310" t="e">
        <f t="shared" ca="1" si="315"/>
        <v>#N/A</v>
      </c>
      <c r="AD670" s="323" t="e">
        <f t="shared" ca="1" si="316"/>
        <v>#N/A</v>
      </c>
      <c r="AE670" s="324" t="e">
        <f t="shared" ca="1" si="295"/>
        <v>#N/A</v>
      </c>
      <c r="AG670" s="306">
        <f t="shared" ca="1" si="317"/>
        <v>8.0340836432428109</v>
      </c>
      <c r="AH670" s="304">
        <f t="shared" ca="1" si="318"/>
        <v>-1.1897285304038523</v>
      </c>
    </row>
    <row r="671" spans="1:34" x14ac:dyDescent="0.2">
      <c r="A671" s="347">
        <f t="shared" ca="1" si="296"/>
        <v>0.1</v>
      </c>
      <c r="B671" s="304">
        <f t="shared" ca="1" si="297"/>
        <v>34.700000000000152</v>
      </c>
      <c r="D671" s="306">
        <f t="shared" ca="1" si="298"/>
        <v>-0.40938602827443199</v>
      </c>
      <c r="E671" s="307">
        <f t="shared" ca="1" si="299"/>
        <v>-8.6624125530535778</v>
      </c>
      <c r="F671" s="304">
        <f t="shared" ca="1" si="300"/>
        <v>8.6720809589997785</v>
      </c>
      <c r="G671" s="306">
        <f t="shared" ca="1" si="301"/>
        <v>23.43215695264751</v>
      </c>
      <c r="H671" s="307">
        <f t="shared" ca="1" si="302"/>
        <v>-66.665823898559196</v>
      </c>
      <c r="I671" s="304">
        <f t="shared" ca="1" si="303"/>
        <v>70.663979901553901</v>
      </c>
      <c r="J671" s="306">
        <f t="shared" ca="1" si="304"/>
        <v>1006.058755924651</v>
      </c>
      <c r="K671" s="307">
        <f t="shared" ca="1" si="305"/>
        <v>3581.1777055014009</v>
      </c>
      <c r="L671" s="304">
        <f t="shared" ca="1" si="290"/>
        <v>3719.8102073564096</v>
      </c>
      <c r="M671" s="306">
        <f t="shared" ca="1" si="306"/>
        <v>-1.2327975806330493</v>
      </c>
      <c r="N671" s="304">
        <f t="shared" ca="1" si="307"/>
        <v>-70.63409836421252</v>
      </c>
      <c r="P671" s="310">
        <f t="shared" ca="1" si="308"/>
        <v>23</v>
      </c>
      <c r="Q671" s="304">
        <f t="shared" ca="1" si="309"/>
        <v>0</v>
      </c>
      <c r="R671" s="306">
        <f t="shared" ca="1" si="310"/>
        <v>0</v>
      </c>
      <c r="S671" s="307">
        <f t="shared" ca="1" si="311"/>
        <v>5.6519999999999806</v>
      </c>
      <c r="T671" s="304">
        <f t="shared" ca="1" si="291"/>
        <v>55.446119999999816</v>
      </c>
      <c r="U671" s="311">
        <f t="shared" ca="1" si="292"/>
        <v>0</v>
      </c>
      <c r="V671" s="306">
        <f t="shared" ca="1" si="293"/>
        <v>0.85292844835601567</v>
      </c>
      <c r="W671" s="304">
        <f t="shared" ca="1" si="294"/>
        <v>7.0505476451052624</v>
      </c>
      <c r="Y671" s="314" t="str">
        <f t="shared" ca="1" si="312"/>
        <v/>
      </c>
      <c r="Z671" s="315" t="str">
        <f t="shared" ca="1" si="313"/>
        <v/>
      </c>
      <c r="AA671" s="316" t="str">
        <f t="shared" ca="1" si="314"/>
        <v/>
      </c>
      <c r="AC671" s="310" t="e">
        <f t="shared" ca="1" si="315"/>
        <v>#N/A</v>
      </c>
      <c r="AD671" s="323" t="e">
        <f t="shared" ca="1" si="316"/>
        <v>#N/A</v>
      </c>
      <c r="AE671" s="324" t="e">
        <f t="shared" ca="1" si="295"/>
        <v>#N/A</v>
      </c>
      <c r="AG671" s="306">
        <f t="shared" ca="1" si="317"/>
        <v>8.0212548651381219</v>
      </c>
      <c r="AH671" s="304">
        <f t="shared" ca="1" si="318"/>
        <v>-1.218422696987923</v>
      </c>
    </row>
    <row r="672" spans="1:34" x14ac:dyDescent="0.2">
      <c r="A672" s="347">
        <f t="shared" ca="1" si="296"/>
        <v>0.1</v>
      </c>
      <c r="B672" s="304">
        <f t="shared" ca="1" si="297"/>
        <v>34.800000000000153</v>
      </c>
      <c r="D672" s="306">
        <f t="shared" ca="1" si="298"/>
        <v>-0.41365175602604537</v>
      </c>
      <c r="E672" s="307">
        <f t="shared" ca="1" si="299"/>
        <v>-8.6331371453217258</v>
      </c>
      <c r="F672" s="304">
        <f t="shared" ca="1" si="300"/>
        <v>8.6430414059633662</v>
      </c>
      <c r="G672" s="306">
        <f t="shared" ca="1" si="301"/>
        <v>23.390791777044907</v>
      </c>
      <c r="H672" s="307">
        <f t="shared" ca="1" si="302"/>
        <v>-67.529137613091365</v>
      </c>
      <c r="I672" s="304">
        <f t="shared" ca="1" si="303"/>
        <v>71.465471150233824</v>
      </c>
      <c r="J672" s="306">
        <f t="shared" ca="1" si="304"/>
        <v>1008.3999033611357</v>
      </c>
      <c r="K672" s="307">
        <f t="shared" ca="1" si="305"/>
        <v>3574.4679574258184</v>
      </c>
      <c r="L672" s="304">
        <f t="shared" ca="1" si="290"/>
        <v>3713.9859374750804</v>
      </c>
      <c r="M672" s="306">
        <f t="shared" ca="1" si="306"/>
        <v>-1.2373494356386596</v>
      </c>
      <c r="N672" s="304">
        <f t="shared" ca="1" si="307"/>
        <v>-70.894900444989489</v>
      </c>
      <c r="P672" s="310">
        <f t="shared" ca="1" si="308"/>
        <v>23</v>
      </c>
      <c r="Q672" s="304">
        <f t="shared" ca="1" si="309"/>
        <v>0</v>
      </c>
      <c r="R672" s="306">
        <f t="shared" ca="1" si="310"/>
        <v>0</v>
      </c>
      <c r="S672" s="307">
        <f t="shared" ca="1" si="311"/>
        <v>5.6519999999999806</v>
      </c>
      <c r="T672" s="304">
        <f t="shared" ca="1" si="291"/>
        <v>55.446119999999816</v>
      </c>
      <c r="U672" s="311">
        <f t="shared" ca="1" si="292"/>
        <v>0</v>
      </c>
      <c r="V672" s="306">
        <f t="shared" ca="1" si="293"/>
        <v>0.85351986685304138</v>
      </c>
      <c r="W672" s="304">
        <f t="shared" ca="1" si="294"/>
        <v>7.2163937343610671</v>
      </c>
      <c r="Y672" s="314" t="str">
        <f t="shared" ca="1" si="312"/>
        <v/>
      </c>
      <c r="Z672" s="315" t="str">
        <f t="shared" ca="1" si="313"/>
        <v/>
      </c>
      <c r="AA672" s="316" t="str">
        <f t="shared" ca="1" si="314"/>
        <v/>
      </c>
      <c r="AC672" s="310" t="e">
        <f t="shared" ca="1" si="315"/>
        <v>#N/A</v>
      </c>
      <c r="AD672" s="323" t="e">
        <f t="shared" ca="1" si="316"/>
        <v>#N/A</v>
      </c>
      <c r="AE672" s="324" t="e">
        <f t="shared" ca="1" si="295"/>
        <v>#N/A</v>
      </c>
      <c r="AG672" s="306">
        <f t="shared" ca="1" si="317"/>
        <v>8.0075088968877193</v>
      </c>
      <c r="AH672" s="304">
        <f t="shared" ca="1" si="318"/>
        <v>-1.2474429662252806</v>
      </c>
    </row>
    <row r="673" spans="1:34" x14ac:dyDescent="0.2">
      <c r="A673" s="347">
        <f t="shared" ca="1" si="296"/>
        <v>0.1</v>
      </c>
      <c r="B673" s="304">
        <f t="shared" ca="1" si="297"/>
        <v>34.900000000000155</v>
      </c>
      <c r="D673" s="306">
        <f t="shared" ca="1" si="298"/>
        <v>-0.4178945711327765</v>
      </c>
      <c r="E673" s="307">
        <f t="shared" ca="1" si="299"/>
        <v>-8.6035397710870374</v>
      </c>
      <c r="F673" s="304">
        <f t="shared" ca="1" si="300"/>
        <v>8.6136828630533309</v>
      </c>
      <c r="G673" s="306">
        <f t="shared" ca="1" si="301"/>
        <v>23.349002319931628</v>
      </c>
      <c r="H673" s="307">
        <f t="shared" ca="1" si="302"/>
        <v>-68.389491590200066</v>
      </c>
      <c r="I673" s="304">
        <f t="shared" ca="1" si="303"/>
        <v>72.265472179334836</v>
      </c>
      <c r="J673" s="306">
        <f t="shared" ca="1" si="304"/>
        <v>1010.7368930659845</v>
      </c>
      <c r="K673" s="307">
        <f t="shared" ca="1" si="305"/>
        <v>3567.672025965654</v>
      </c>
      <c r="L673" s="304">
        <f t="shared" ca="1" si="290"/>
        <v>3708.0820853727814</v>
      </c>
      <c r="M673" s="306">
        <f t="shared" ca="1" si="306"/>
        <v>-1.2417925577917115</v>
      </c>
      <c r="N673" s="304">
        <f t="shared" ca="1" si="307"/>
        <v>-71.149472592220434</v>
      </c>
      <c r="P673" s="310">
        <f t="shared" ca="1" si="308"/>
        <v>23</v>
      </c>
      <c r="Q673" s="304">
        <f t="shared" ca="1" si="309"/>
        <v>0</v>
      </c>
      <c r="R673" s="306">
        <f t="shared" ca="1" si="310"/>
        <v>0</v>
      </c>
      <c r="S673" s="307">
        <f t="shared" ca="1" si="311"/>
        <v>5.6519999999999806</v>
      </c>
      <c r="T673" s="304">
        <f t="shared" ca="1" si="291"/>
        <v>55.446119999999816</v>
      </c>
      <c r="U673" s="311">
        <f t="shared" ca="1" si="292"/>
        <v>0</v>
      </c>
      <c r="V673" s="306">
        <f t="shared" ca="1" si="293"/>
        <v>0.85411922509844462</v>
      </c>
      <c r="W673" s="304">
        <f t="shared" ca="1" si="294"/>
        <v>7.3840435712019188</v>
      </c>
      <c r="Y673" s="314" t="str">
        <f t="shared" ca="1" si="312"/>
        <v/>
      </c>
      <c r="Z673" s="315" t="str">
        <f t="shared" ca="1" si="313"/>
        <v/>
      </c>
      <c r="AA673" s="316" t="str">
        <f t="shared" ca="1" si="314"/>
        <v/>
      </c>
      <c r="AC673" s="310" t="e">
        <f t="shared" ca="1" si="315"/>
        <v>#N/A</v>
      </c>
      <c r="AD673" s="323" t="e">
        <f t="shared" ca="1" si="316"/>
        <v>#N/A</v>
      </c>
      <c r="AE673" s="324" t="e">
        <f t="shared" ca="1" si="295"/>
        <v>#N/A</v>
      </c>
      <c r="AG673" s="306">
        <f t="shared" ca="1" si="317"/>
        <v>7.9928772184614365</v>
      </c>
      <c r="AH673" s="304">
        <f t="shared" ca="1" si="318"/>
        <v>-1.2767858694906391</v>
      </c>
    </row>
    <row r="674" spans="1:34" x14ac:dyDescent="0.2">
      <c r="A674" s="347">
        <f t="shared" ca="1" si="296"/>
        <v>0.1</v>
      </c>
      <c r="B674" s="304">
        <f t="shared" ca="1" si="297"/>
        <v>35.000000000000156</v>
      </c>
      <c r="D674" s="306">
        <f t="shared" ca="1" si="298"/>
        <v>-0.4221138296747684</v>
      </c>
      <c r="E674" s="307">
        <f t="shared" ca="1" si="299"/>
        <v>-8.5736238238750477</v>
      </c>
      <c r="F674" s="304">
        <f t="shared" ca="1" si="300"/>
        <v>8.5840087114657848</v>
      </c>
      <c r="G674" s="306">
        <f t="shared" ca="1" si="301"/>
        <v>23.306790936964152</v>
      </c>
      <c r="H674" s="307">
        <f t="shared" ca="1" si="302"/>
        <v>-69.246853972587573</v>
      </c>
      <c r="I674" s="304">
        <f t="shared" ca="1" si="303"/>
        <v>73.063898670138187</v>
      </c>
      <c r="J674" s="306">
        <f t="shared" ca="1" si="304"/>
        <v>1013.0696827288293</v>
      </c>
      <c r="K674" s="307">
        <f t="shared" ca="1" si="305"/>
        <v>3560.7902086875147</v>
      </c>
      <c r="L674" s="304">
        <f t="shared" ca="1" si="290"/>
        <v>3702.0990116890671</v>
      </c>
      <c r="M674" s="306">
        <f t="shared" ca="1" si="306"/>
        <v>-1.2461307122505272</v>
      </c>
      <c r="N674" s="304">
        <f t="shared" ca="1" si="307"/>
        <v>-71.398030533586436</v>
      </c>
      <c r="P674" s="310">
        <f t="shared" ca="1" si="308"/>
        <v>23</v>
      </c>
      <c r="Q674" s="304">
        <f t="shared" ca="1" si="309"/>
        <v>0</v>
      </c>
      <c r="R674" s="306">
        <f t="shared" ca="1" si="310"/>
        <v>0</v>
      </c>
      <c r="S674" s="307">
        <f t="shared" ca="1" si="311"/>
        <v>5.6519999999999806</v>
      </c>
      <c r="T674" s="304">
        <f t="shared" ca="1" si="291"/>
        <v>55.446119999999816</v>
      </c>
      <c r="U674" s="311">
        <f t="shared" ca="1" si="292"/>
        <v>0</v>
      </c>
      <c r="V674" s="306">
        <f t="shared" ca="1" si="293"/>
        <v>0.85472651027351143</v>
      </c>
      <c r="W674" s="304">
        <f t="shared" ca="1" si="294"/>
        <v>7.5534772042372209</v>
      </c>
      <c r="Y674" s="314" t="str">
        <f t="shared" ca="1" si="312"/>
        <v/>
      </c>
      <c r="Z674" s="315" t="str">
        <f t="shared" ca="1" si="313"/>
        <v/>
      </c>
      <c r="AA674" s="316" t="str">
        <f t="shared" ca="1" si="314"/>
        <v/>
      </c>
      <c r="AC674" s="310">
        <f t="shared" ca="1" si="315"/>
        <v>35.000000000000156</v>
      </c>
      <c r="AD674" s="323">
        <f t="shared" ca="1" si="316"/>
        <v>1013.0696827288293</v>
      </c>
      <c r="AE674" s="324" t="e">
        <f t="shared" ca="1" si="295"/>
        <v>#N/A</v>
      </c>
      <c r="AG674" s="306">
        <f t="shared" ca="1" si="317"/>
        <v>7.9773897578841835</v>
      </c>
      <c r="AH674" s="304">
        <f t="shared" ca="1" si="318"/>
        <v>-1.3064479071482562</v>
      </c>
    </row>
    <row r="675" spans="1:34" x14ac:dyDescent="0.2">
      <c r="A675" s="347">
        <f t="shared" ca="1" si="296"/>
        <v>0.1</v>
      </c>
      <c r="B675" s="304">
        <f t="shared" ca="1" si="297"/>
        <v>35.100000000000158</v>
      </c>
      <c r="D675" s="306">
        <f t="shared" ca="1" si="298"/>
        <v>-0.42630890830641199</v>
      </c>
      <c r="E675" s="307">
        <f t="shared" ca="1" si="299"/>
        <v>-8.5433927351668011</v>
      </c>
      <c r="F675" s="304">
        <f t="shared" ca="1" si="300"/>
        <v>8.5540223703590037</v>
      </c>
      <c r="G675" s="306">
        <f t="shared" ca="1" si="301"/>
        <v>23.264160046133512</v>
      </c>
      <c r="H675" s="307">
        <f t="shared" ca="1" si="302"/>
        <v>-70.101193246104259</v>
      </c>
      <c r="I675" s="304">
        <f t="shared" ca="1" si="303"/>
        <v>73.86066908158746</v>
      </c>
      <c r="J675" s="306">
        <f t="shared" ca="1" si="304"/>
        <v>1015.3982302779842</v>
      </c>
      <c r="K675" s="307">
        <f t="shared" ca="1" si="305"/>
        <v>3553.8228063265801</v>
      </c>
      <c r="L675" s="304">
        <f t="shared" ca="1" si="290"/>
        <v>3696.0370810935583</v>
      </c>
      <c r="M675" s="306">
        <f t="shared" ca="1" si="306"/>
        <v>-1.2503674999973586</v>
      </c>
      <c r="N675" s="304">
        <f t="shared" ca="1" si="307"/>
        <v>-71.640780590172625</v>
      </c>
      <c r="P675" s="310">
        <f t="shared" ca="1" si="308"/>
        <v>23</v>
      </c>
      <c r="Q675" s="304">
        <f t="shared" ca="1" si="309"/>
        <v>0</v>
      </c>
      <c r="R675" s="306">
        <f t="shared" ca="1" si="310"/>
        <v>0</v>
      </c>
      <c r="S675" s="307">
        <f t="shared" ca="1" si="311"/>
        <v>5.6519999999999806</v>
      </c>
      <c r="T675" s="304">
        <f t="shared" ca="1" si="291"/>
        <v>55.446119999999816</v>
      </c>
      <c r="U675" s="311">
        <f t="shared" ca="1" si="292"/>
        <v>0</v>
      </c>
      <c r="V675" s="306">
        <f t="shared" ca="1" si="293"/>
        <v>0.85534170940772081</v>
      </c>
      <c r="W675" s="304">
        <f t="shared" ca="1" si="294"/>
        <v>7.7246745144867219</v>
      </c>
      <c r="Y675" s="314" t="str">
        <f t="shared" ca="1" si="312"/>
        <v/>
      </c>
      <c r="Z675" s="315" t="str">
        <f t="shared" ca="1" si="313"/>
        <v/>
      </c>
      <c r="AA675" s="316" t="str">
        <f t="shared" ca="1" si="314"/>
        <v/>
      </c>
      <c r="AC675" s="310" t="e">
        <f t="shared" ca="1" si="315"/>
        <v>#N/A</v>
      </c>
      <c r="AD675" s="323" t="e">
        <f t="shared" ca="1" si="316"/>
        <v>#N/A</v>
      </c>
      <c r="AE675" s="324" t="e">
        <f t="shared" ca="1" si="295"/>
        <v>#N/A</v>
      </c>
      <c r="AG675" s="306">
        <f t="shared" ca="1" si="317"/>
        <v>7.9610749925644217</v>
      </c>
      <c r="AH675" s="304">
        <f t="shared" ca="1" si="318"/>
        <v>-1.3364255492281045</v>
      </c>
    </row>
    <row r="676" spans="1:34" x14ac:dyDescent="0.2">
      <c r="A676" s="347">
        <f t="shared" ca="1" si="296"/>
        <v>0.1</v>
      </c>
      <c r="B676" s="304">
        <f t="shared" ca="1" si="297"/>
        <v>35.200000000000159</v>
      </c>
      <c r="D676" s="306">
        <f t="shared" ca="1" si="298"/>
        <v>-0.43047920342018287</v>
      </c>
      <c r="E676" s="307">
        <f t="shared" ca="1" si="299"/>
        <v>-8.5128499731971772</v>
      </c>
      <c r="F676" s="304">
        <f t="shared" ca="1" si="300"/>
        <v>8.5237272956577179</v>
      </c>
      <c r="G676" s="306">
        <f t="shared" ca="1" si="301"/>
        <v>23.221112125791493</v>
      </c>
      <c r="H676" s="307">
        <f t="shared" ca="1" si="302"/>
        <v>-70.952478243423982</v>
      </c>
      <c r="I676" s="304">
        <f t="shared" ca="1" si="303"/>
        <v>74.655704519093078</v>
      </c>
      <c r="J676" s="306">
        <f t="shared" ca="1" si="304"/>
        <v>1017.7224938865804</v>
      </c>
      <c r="K676" s="307">
        <f t="shared" ca="1" si="305"/>
        <v>3546.7701227521038</v>
      </c>
      <c r="L676" s="304">
        <f t="shared" ca="1" si="290"/>
        <v>3689.8966622670741</v>
      </c>
      <c r="M676" s="306">
        <f t="shared" ca="1" si="306"/>
        <v>-1.2545063662130869</v>
      </c>
      <c r="N676" s="304">
        <f t="shared" ca="1" si="307"/>
        <v>-71.877920156303134</v>
      </c>
      <c r="P676" s="310">
        <f t="shared" ca="1" si="308"/>
        <v>23</v>
      </c>
      <c r="Q676" s="304">
        <f t="shared" ca="1" si="309"/>
        <v>0</v>
      </c>
      <c r="R676" s="306">
        <f t="shared" ca="1" si="310"/>
        <v>0</v>
      </c>
      <c r="S676" s="307">
        <f t="shared" ca="1" si="311"/>
        <v>5.6519999999999806</v>
      </c>
      <c r="T676" s="304">
        <f t="shared" ca="1" si="291"/>
        <v>55.446119999999816</v>
      </c>
      <c r="U676" s="311">
        <f t="shared" ca="1" si="292"/>
        <v>0</v>
      </c>
      <c r="V676" s="306">
        <f t="shared" ca="1" si="293"/>
        <v>0.85596480937968122</v>
      </c>
      <c r="W676" s="304">
        <f t="shared" ca="1" si="294"/>
        <v>7.8976152192767612</v>
      </c>
      <c r="Y676" s="314" t="str">
        <f t="shared" ca="1" si="312"/>
        <v/>
      </c>
      <c r="Z676" s="315" t="str">
        <f t="shared" ca="1" si="313"/>
        <v/>
      </c>
      <c r="AA676" s="316" t="str">
        <f t="shared" ca="1" si="314"/>
        <v/>
      </c>
      <c r="AC676" s="310" t="e">
        <f t="shared" ca="1" si="315"/>
        <v>#N/A</v>
      </c>
      <c r="AD676" s="323" t="e">
        <f t="shared" ca="1" si="316"/>
        <v>#N/A</v>
      </c>
      <c r="AE676" s="324" t="e">
        <f t="shared" ca="1" si="295"/>
        <v>#N/A</v>
      </c>
      <c r="AG676" s="306">
        <f t="shared" ca="1" si="317"/>
        <v>7.9439600433779196</v>
      </c>
      <c r="AH676" s="304">
        <f t="shared" ca="1" si="318"/>
        <v>-1.3667152361087664</v>
      </c>
    </row>
    <row r="677" spans="1:34" x14ac:dyDescent="0.2">
      <c r="A677" s="347">
        <f t="shared" ca="1" si="296"/>
        <v>0.1</v>
      </c>
      <c r="B677" s="304">
        <f t="shared" ca="1" si="297"/>
        <v>35.300000000000161</v>
      </c>
      <c r="D677" s="306">
        <f t="shared" ca="1" si="298"/>
        <v>-0.43462413036543268</v>
      </c>
      <c r="E677" s="307">
        <f t="shared" ca="1" si="299"/>
        <v>-8.4819990417870947</v>
      </c>
      <c r="F677" s="304">
        <f t="shared" ca="1" si="300"/>
        <v>8.493126978891409</v>
      </c>
      <c r="G677" s="306">
        <f t="shared" ca="1" si="301"/>
        <v>23.177649712754949</v>
      </c>
      <c r="H677" s="307">
        <f t="shared" ca="1" si="302"/>
        <v>-71.800678147602696</v>
      </c>
      <c r="I677" s="304">
        <f t="shared" ca="1" si="303"/>
        <v>75.448928611762284</v>
      </c>
      <c r="J677" s="306">
        <f t="shared" ca="1" si="304"/>
        <v>1020.0424319785077</v>
      </c>
      <c r="K677" s="307">
        <f t="shared" ca="1" si="305"/>
        <v>3539.6324649325525</v>
      </c>
      <c r="L677" s="304">
        <f t="shared" ca="1" si="290"/>
        <v>3683.6781278826634</v>
      </c>
      <c r="M677" s="306">
        <f t="shared" ca="1" si="306"/>
        <v>-1.2585506081793669</v>
      </c>
      <c r="N677" s="304">
        <f t="shared" ca="1" si="307"/>
        <v>-72.109638152300676</v>
      </c>
      <c r="P677" s="310">
        <f t="shared" ca="1" si="308"/>
        <v>23</v>
      </c>
      <c r="Q677" s="304">
        <f t="shared" ca="1" si="309"/>
        <v>0</v>
      </c>
      <c r="R677" s="306">
        <f t="shared" ca="1" si="310"/>
        <v>0</v>
      </c>
      <c r="S677" s="307">
        <f t="shared" ca="1" si="311"/>
        <v>5.6519999999999806</v>
      </c>
      <c r="T677" s="304">
        <f t="shared" ca="1" si="291"/>
        <v>55.446119999999816</v>
      </c>
      <c r="U677" s="311">
        <f t="shared" ca="1" si="292"/>
        <v>0</v>
      </c>
      <c r="V677" s="306">
        <f t="shared" ca="1" si="293"/>
        <v>0.85659579691808063</v>
      </c>
      <c r="W677" s="304">
        <f t="shared" ca="1" si="294"/>
        <v>8.0722788761713815</v>
      </c>
      <c r="Y677" s="314" t="str">
        <f t="shared" ca="1" si="312"/>
        <v/>
      </c>
      <c r="Z677" s="315" t="str">
        <f t="shared" ca="1" si="313"/>
        <v/>
      </c>
      <c r="AA677" s="316" t="str">
        <f t="shared" ca="1" si="314"/>
        <v/>
      </c>
      <c r="AC677" s="310" t="e">
        <f t="shared" ca="1" si="315"/>
        <v>#N/A</v>
      </c>
      <c r="AD677" s="323" t="e">
        <f t="shared" ca="1" si="316"/>
        <v>#N/A</v>
      </c>
      <c r="AE677" s="324" t="e">
        <f t="shared" ca="1" si="295"/>
        <v>#N/A</v>
      </c>
      <c r="AG677" s="306">
        <f t="shared" ca="1" si="317"/>
        <v>7.9260707620543398</v>
      </c>
      <c r="AH677" s="304">
        <f t="shared" ca="1" si="318"/>
        <v>-1.397313379206792</v>
      </c>
    </row>
    <row r="678" spans="1:34" x14ac:dyDescent="0.2">
      <c r="A678" s="347">
        <f t="shared" ca="1" si="296"/>
        <v>0.1</v>
      </c>
      <c r="B678" s="304">
        <f t="shared" ca="1" si="297"/>
        <v>35.400000000000162</v>
      </c>
      <c r="D678" s="306">
        <f t="shared" ca="1" si="298"/>
        <v>-0.43874312271816035</v>
      </c>
      <c r="E678" s="307">
        <f t="shared" ca="1" si="299"/>
        <v>-8.4508434792064016</v>
      </c>
      <c r="F678" s="304">
        <f t="shared" ca="1" si="300"/>
        <v>8.462224946063408</v>
      </c>
      <c r="G678" s="306">
        <f t="shared" ca="1" si="301"/>
        <v>23.133775400483135</v>
      </c>
      <c r="H678" s="307">
        <f t="shared" ca="1" si="302"/>
        <v>-72.645762495523343</v>
      </c>
      <c r="I678" s="304">
        <f t="shared" ca="1" si="303"/>
        <v>76.240267397458567</v>
      </c>
      <c r="J678" s="306">
        <f t="shared" ca="1" si="304"/>
        <v>1022.3580032341696</v>
      </c>
      <c r="K678" s="307">
        <f t="shared" ca="1" si="305"/>
        <v>3532.4101429003963</v>
      </c>
      <c r="L678" s="304">
        <f t="shared" ca="1" si="290"/>
        <v>3677.3818545865693</v>
      </c>
      <c r="M678" s="306">
        <f t="shared" ca="1" si="306"/>
        <v>-1.2625033827359826</v>
      </c>
      <c r="N678" s="304">
        <f t="shared" ca="1" si="307"/>
        <v>-72.336115451761444</v>
      </c>
      <c r="P678" s="310">
        <f t="shared" ca="1" si="308"/>
        <v>23</v>
      </c>
      <c r="Q678" s="304">
        <f t="shared" ca="1" si="309"/>
        <v>0</v>
      </c>
      <c r="R678" s="306">
        <f t="shared" ca="1" si="310"/>
        <v>0</v>
      </c>
      <c r="S678" s="307">
        <f t="shared" ca="1" si="311"/>
        <v>5.6519999999999806</v>
      </c>
      <c r="T678" s="304">
        <f t="shared" ca="1" si="291"/>
        <v>55.446119999999816</v>
      </c>
      <c r="U678" s="311">
        <f t="shared" ca="1" si="292"/>
        <v>0</v>
      </c>
      <c r="V678" s="306">
        <f t="shared" ca="1" si="293"/>
        <v>0.8572346586026609</v>
      </c>
      <c r="W678" s="304">
        <f t="shared" ca="1" si="294"/>
        <v>8.2486448869367344</v>
      </c>
      <c r="Y678" s="314" t="str">
        <f t="shared" ca="1" si="312"/>
        <v/>
      </c>
      <c r="Z678" s="315" t="str">
        <f t="shared" ca="1" si="313"/>
        <v/>
      </c>
      <c r="AA678" s="316" t="str">
        <f t="shared" ca="1" si="314"/>
        <v/>
      </c>
      <c r="AC678" s="310" t="e">
        <f t="shared" ca="1" si="315"/>
        <v>#N/A</v>
      </c>
      <c r="AD678" s="323" t="e">
        <f t="shared" ca="1" si="316"/>
        <v>#N/A</v>
      </c>
      <c r="AE678" s="324" t="e">
        <f t="shared" ca="1" si="295"/>
        <v>#N/A</v>
      </c>
      <c r="AG678" s="306">
        <f t="shared" ca="1" si="317"/>
        <v>7.9074318123718808</v>
      </c>
      <c r="AH678" s="304">
        <f t="shared" ca="1" si="318"/>
        <v>-1.4282163616722239</v>
      </c>
    </row>
    <row r="679" spans="1:34" x14ac:dyDescent="0.2">
      <c r="A679" s="347">
        <f t="shared" ca="1" si="296"/>
        <v>0.1</v>
      </c>
      <c r="B679" s="304">
        <f t="shared" ca="1" si="297"/>
        <v>35.500000000000163</v>
      </c>
      <c r="D679" s="306">
        <f t="shared" ca="1" si="298"/>
        <v>-0.44283563159808459</v>
      </c>
      <c r="E679" s="307">
        <f t="shared" ca="1" si="299"/>
        <v>-8.419386857064513</v>
      </c>
      <c r="F679" s="304">
        <f t="shared" ca="1" si="300"/>
        <v>8.4310247565478971</v>
      </c>
      <c r="G679" s="306">
        <f t="shared" ca="1" si="301"/>
        <v>23.089491837323326</v>
      </c>
      <c r="H679" s="307">
        <f t="shared" ca="1" si="302"/>
        <v>-73.487701181229795</v>
      </c>
      <c r="I679" s="304">
        <f t="shared" ca="1" si="303"/>
        <v>77.029649215140168</v>
      </c>
      <c r="J679" s="306">
        <f t="shared" ca="1" si="304"/>
        <v>1024.66916659606</v>
      </c>
      <c r="K679" s="307">
        <f t="shared" ca="1" si="305"/>
        <v>3525.1034697165587</v>
      </c>
      <c r="L679" s="304">
        <f t="shared" ca="1" si="290"/>
        <v>3671.0082229791296</v>
      </c>
      <c r="M679" s="306">
        <f t="shared" ca="1" si="306"/>
        <v>-1.2663677133196445</v>
      </c>
      <c r="N679" s="304">
        <f t="shared" ca="1" si="307"/>
        <v>-72.557525284848595</v>
      </c>
      <c r="P679" s="310">
        <f t="shared" ca="1" si="308"/>
        <v>23</v>
      </c>
      <c r="Q679" s="304">
        <f t="shared" ca="1" si="309"/>
        <v>0</v>
      </c>
      <c r="R679" s="306">
        <f t="shared" ca="1" si="310"/>
        <v>0</v>
      </c>
      <c r="S679" s="307">
        <f t="shared" ca="1" si="311"/>
        <v>5.6519999999999806</v>
      </c>
      <c r="T679" s="304">
        <f t="shared" ca="1" si="291"/>
        <v>55.446119999999816</v>
      </c>
      <c r="U679" s="311">
        <f t="shared" ca="1" si="292"/>
        <v>0</v>
      </c>
      <c r="V679" s="306">
        <f t="shared" ca="1" si="293"/>
        <v>0.85788138086520271</v>
      </c>
      <c r="W679" s="304">
        <f t="shared" ca="1" si="294"/>
        <v>8.4266925015372287</v>
      </c>
      <c r="Y679" s="314" t="str">
        <f t="shared" ca="1" si="312"/>
        <v/>
      </c>
      <c r="Z679" s="315" t="str">
        <f t="shared" ca="1" si="313"/>
        <v/>
      </c>
      <c r="AA679" s="316" t="str">
        <f t="shared" ca="1" si="314"/>
        <v/>
      </c>
      <c r="AC679" s="310" t="e">
        <f t="shared" ca="1" si="315"/>
        <v>#N/A</v>
      </c>
      <c r="AD679" s="323" t="e">
        <f t="shared" ca="1" si="316"/>
        <v>#N/A</v>
      </c>
      <c r="AE679" s="324" t="e">
        <f t="shared" ca="1" si="295"/>
        <v>#N/A</v>
      </c>
      <c r="AG679" s="306">
        <f t="shared" ca="1" si="317"/>
        <v>7.8880667456258831</v>
      </c>
      <c r="AH679" s="304">
        <f t="shared" ca="1" si="318"/>
        <v>-1.4594205390900146</v>
      </c>
    </row>
    <row r="680" spans="1:34" x14ac:dyDescent="0.2">
      <c r="A680" s="347">
        <f t="shared" ca="1" si="296"/>
        <v>0.1</v>
      </c>
      <c r="B680" s="304">
        <f t="shared" ca="1" si="297"/>
        <v>35.600000000000165</v>
      </c>
      <c r="D680" s="306">
        <f t="shared" ca="1" si="298"/>
        <v>-0.4469011250296171</v>
      </c>
      <c r="E680" s="307">
        <f t="shared" ca="1" si="299"/>
        <v>-8.3876327792262444</v>
      </c>
      <c r="F680" s="304">
        <f t="shared" ca="1" si="300"/>
        <v>8.3995300020122148</v>
      </c>
      <c r="G680" s="306">
        <f t="shared" ca="1" si="301"/>
        <v>23.044801724820363</v>
      </c>
      <c r="H680" s="307">
        <f t="shared" ca="1" si="302"/>
        <v>-74.326464459152419</v>
      </c>
      <c r="I680" s="304">
        <f t="shared" ca="1" si="303"/>
        <v>77.817004603967703</v>
      </c>
      <c r="J680" s="306">
        <f t="shared" ca="1" si="304"/>
        <v>1026.9758812741673</v>
      </c>
      <c r="K680" s="307">
        <f t="shared" ca="1" si="305"/>
        <v>3517.7127614345395</v>
      </c>
      <c r="L680" s="304">
        <f t="shared" ca="1" si="290"/>
        <v>3664.5576175956444</v>
      </c>
      <c r="M680" s="306">
        <f t="shared" ca="1" si="306"/>
        <v>-1.2701464966089819</v>
      </c>
      <c r="N680" s="304">
        <f t="shared" ca="1" si="307"/>
        <v>-72.774033619022191</v>
      </c>
      <c r="P680" s="310">
        <f t="shared" ca="1" si="308"/>
        <v>23</v>
      </c>
      <c r="Q680" s="304">
        <f t="shared" ca="1" si="309"/>
        <v>0</v>
      </c>
      <c r="R680" s="306">
        <f t="shared" ca="1" si="310"/>
        <v>0</v>
      </c>
      <c r="S680" s="307">
        <f t="shared" ca="1" si="311"/>
        <v>5.6519999999999806</v>
      </c>
      <c r="T680" s="304">
        <f t="shared" ca="1" si="291"/>
        <v>55.446119999999816</v>
      </c>
      <c r="U680" s="311">
        <f t="shared" ca="1" si="292"/>
        <v>0</v>
      </c>
      <c r="V680" s="306">
        <f t="shared" ca="1" si="293"/>
        <v>0.85853594999053318</v>
      </c>
      <c r="W680" s="304">
        <f t="shared" ca="1" si="294"/>
        <v>8.6064008221618948</v>
      </c>
      <c r="Y680" s="314" t="str">
        <f t="shared" ca="1" si="312"/>
        <v/>
      </c>
      <c r="Z680" s="315" t="str">
        <f t="shared" ca="1" si="313"/>
        <v/>
      </c>
      <c r="AA680" s="316" t="str">
        <f t="shared" ca="1" si="314"/>
        <v/>
      </c>
      <c r="AC680" s="310" t="e">
        <f t="shared" ca="1" si="315"/>
        <v>#N/A</v>
      </c>
      <c r="AD680" s="323" t="e">
        <f t="shared" ca="1" si="316"/>
        <v>#N/A</v>
      </c>
      <c r="AE680" s="324" t="e">
        <f t="shared" ca="1" si="295"/>
        <v>#N/A</v>
      </c>
      <c r="AG680" s="306">
        <f t="shared" ca="1" si="317"/>
        <v>7.8679980708010486</v>
      </c>
      <c r="AH680" s="304">
        <f t="shared" ca="1" si="318"/>
        <v>-1.490922240187059</v>
      </c>
    </row>
    <row r="681" spans="1:34" x14ac:dyDescent="0.2">
      <c r="A681" s="347">
        <f t="shared" ca="1" si="296"/>
        <v>0.1</v>
      </c>
      <c r="B681" s="304">
        <f t="shared" ca="1" si="297"/>
        <v>35.700000000000166</v>
      </c>
      <c r="D681" s="306">
        <f t="shared" ca="1" si="298"/>
        <v>-0.45093908734359828</v>
      </c>
      <c r="E681" s="307">
        <f t="shared" ca="1" si="299"/>
        <v>-8.3555848807504614</v>
      </c>
      <c r="F681" s="304">
        <f t="shared" ca="1" si="300"/>
        <v>8.3677443053621072</v>
      </c>
      <c r="G681" s="306">
        <f t="shared" ca="1" si="301"/>
        <v>22.999707816086005</v>
      </c>
      <c r="H681" s="307">
        <f t="shared" ca="1" si="302"/>
        <v>-75.16202294722747</v>
      </c>
      <c r="I681" s="304">
        <f t="shared" ca="1" si="303"/>
        <v>78.602266208709764</v>
      </c>
      <c r="J681" s="306">
        <f t="shared" ca="1" si="304"/>
        <v>1029.2781067512126</v>
      </c>
      <c r="K681" s="307">
        <f t="shared" ca="1" si="305"/>
        <v>3510.2383370642206</v>
      </c>
      <c r="L681" s="304">
        <f t="shared" ca="1" si="290"/>
        <v>3658.0304268872264</v>
      </c>
      <c r="M681" s="306">
        <f t="shared" ca="1" si="306"/>
        <v>-1.2738425087990732</v>
      </c>
      <c r="N681" s="304">
        <f t="shared" ca="1" si="307"/>
        <v>-72.985799518543331</v>
      </c>
      <c r="P681" s="310">
        <f t="shared" ca="1" si="308"/>
        <v>23</v>
      </c>
      <c r="Q681" s="304">
        <f t="shared" ca="1" si="309"/>
        <v>0</v>
      </c>
      <c r="R681" s="306">
        <f t="shared" ca="1" si="310"/>
        <v>0</v>
      </c>
      <c r="S681" s="307">
        <f t="shared" ca="1" si="311"/>
        <v>5.6519999999999806</v>
      </c>
      <c r="T681" s="304">
        <f t="shared" ca="1" si="291"/>
        <v>55.446119999999816</v>
      </c>
      <c r="U681" s="311">
        <f t="shared" ca="1" si="292"/>
        <v>0</v>
      </c>
      <c r="V681" s="306">
        <f t="shared" ca="1" si="293"/>
        <v>0.85919835211754592</v>
      </c>
      <c r="W681" s="304">
        <f t="shared" ca="1" si="294"/>
        <v>8.7877488072795078</v>
      </c>
      <c r="Y681" s="314" t="str">
        <f t="shared" ca="1" si="312"/>
        <v/>
      </c>
      <c r="Z681" s="315" t="str">
        <f t="shared" ca="1" si="313"/>
        <v/>
      </c>
      <c r="AA681" s="316" t="str">
        <f t="shared" ca="1" si="314"/>
        <v/>
      </c>
      <c r="AC681" s="310" t="e">
        <f t="shared" ca="1" si="315"/>
        <v>#N/A</v>
      </c>
      <c r="AD681" s="323" t="e">
        <f t="shared" ca="1" si="316"/>
        <v>#N/A</v>
      </c>
      <c r="AE681" s="324" t="e">
        <f t="shared" ca="1" si="295"/>
        <v>#N/A</v>
      </c>
      <c r="AG681" s="306">
        <f t="shared" ca="1" si="317"/>
        <v>7.8472473198433841</v>
      </c>
      <c r="AH681" s="304">
        <f t="shared" ca="1" si="318"/>
        <v>-1.5227177675445727</v>
      </c>
    </row>
    <row r="682" spans="1:34" x14ac:dyDescent="0.2">
      <c r="A682" s="347">
        <f t="shared" ca="1" si="296"/>
        <v>0.1</v>
      </c>
      <c r="B682" s="304">
        <f t="shared" ca="1" si="297"/>
        <v>35.800000000000168</v>
      </c>
      <c r="D682" s="306">
        <f t="shared" ca="1" si="298"/>
        <v>-0.45494901861688225</v>
      </c>
      <c r="E682" s="307">
        <f t="shared" ca="1" si="299"/>
        <v>-8.3232468268494788</v>
      </c>
      <c r="F682" s="304">
        <f t="shared" ca="1" si="300"/>
        <v>8.3356713197078722</v>
      </c>
      <c r="G682" s="306">
        <f t="shared" ca="1" si="301"/>
        <v>22.954212914224318</v>
      </c>
      <c r="H682" s="307">
        <f t="shared" ca="1" si="302"/>
        <v>-75.994347629912411</v>
      </c>
      <c r="I682" s="304">
        <f t="shared" ca="1" si="303"/>
        <v>79.385368691009532</v>
      </c>
      <c r="J682" s="306">
        <f t="shared" ca="1" si="304"/>
        <v>1031.5758027877282</v>
      </c>
      <c r="K682" s="307">
        <f t="shared" ca="1" si="305"/>
        <v>3502.6805185353637</v>
      </c>
      <c r="L682" s="304">
        <f t="shared" ca="1" si="290"/>
        <v>3651.4270432016456</v>
      </c>
      <c r="M682" s="306">
        <f t="shared" ca="1" si="306"/>
        <v>-1.2774584115274892</v>
      </c>
      <c r="N682" s="304">
        <f t="shared" ca="1" si="307"/>
        <v>-73.192975484011399</v>
      </c>
      <c r="P682" s="310">
        <f t="shared" ca="1" si="308"/>
        <v>23</v>
      </c>
      <c r="Q682" s="304">
        <f t="shared" ca="1" si="309"/>
        <v>0</v>
      </c>
      <c r="R682" s="306">
        <f t="shared" ca="1" si="310"/>
        <v>0</v>
      </c>
      <c r="S682" s="307">
        <f t="shared" ca="1" si="311"/>
        <v>5.6519999999999806</v>
      </c>
      <c r="T682" s="304">
        <f t="shared" ca="1" si="291"/>
        <v>55.446119999999816</v>
      </c>
      <c r="U682" s="311">
        <f t="shared" ca="1" si="292"/>
        <v>0</v>
      </c>
      <c r="V682" s="306">
        <f t="shared" ca="1" si="293"/>
        <v>0.8598685732402398</v>
      </c>
      <c r="W682" s="304">
        <f t="shared" ca="1" si="294"/>
        <v>8.9707152757208792</v>
      </c>
      <c r="Y682" s="314" t="str">
        <f t="shared" ca="1" si="312"/>
        <v/>
      </c>
      <c r="Z682" s="315" t="str">
        <f t="shared" ca="1" si="313"/>
        <v/>
      </c>
      <c r="AA682" s="316" t="str">
        <f t="shared" ca="1" si="314"/>
        <v/>
      </c>
      <c r="AC682" s="310" t="e">
        <f t="shared" ca="1" si="315"/>
        <v>#N/A</v>
      </c>
      <c r="AD682" s="323" t="e">
        <f t="shared" ca="1" si="316"/>
        <v>#N/A</v>
      </c>
      <c r="AE682" s="324" t="e">
        <f t="shared" ca="1" si="295"/>
        <v>#N/A</v>
      </c>
      <c r="AG682" s="306">
        <f t="shared" ca="1" si="317"/>
        <v>7.8258351083970945</v>
      </c>
      <c r="AH682" s="304">
        <f t="shared" ca="1" si="318"/>
        <v>-1.5548033983155587</v>
      </c>
    </row>
    <row r="683" spans="1:34" x14ac:dyDescent="0.2">
      <c r="A683" s="347">
        <f t="shared" ca="1" si="296"/>
        <v>0.1</v>
      </c>
      <c r="B683" s="304">
        <f t="shared" ca="1" si="297"/>
        <v>35.900000000000169</v>
      </c>
      <c r="D683" s="306">
        <f t="shared" ca="1" si="298"/>
        <v>-0.45893043414708323</v>
      </c>
      <c r="E683" s="307">
        <f t="shared" ca="1" si="299"/>
        <v>-8.2906223118672937</v>
      </c>
      <c r="F683" s="304">
        <f t="shared" ca="1" si="300"/>
        <v>8.3033147273494468</v>
      </c>
      <c r="G683" s="306">
        <f t="shared" ca="1" si="301"/>
        <v>22.90831987080961</v>
      </c>
      <c r="H683" s="307">
        <f t="shared" ca="1" si="302"/>
        <v>-76.823409861099137</v>
      </c>
      <c r="I683" s="304">
        <f t="shared" ca="1" si="303"/>
        <v>80.166248646108883</v>
      </c>
      <c r="J683" s="306">
        <f t="shared" ca="1" si="304"/>
        <v>1033.86892942698</v>
      </c>
      <c r="K683" s="307">
        <f t="shared" ca="1" si="305"/>
        <v>3495.0396306608131</v>
      </c>
      <c r="L683" s="304">
        <f t="shared" ca="1" si="290"/>
        <v>3644.7478627641945</v>
      </c>
      <c r="M683" s="306">
        <f t="shared" ca="1" si="306"/>
        <v>-1.2809967574725429</v>
      </c>
      <c r="N683" s="304">
        <f t="shared" ca="1" si="307"/>
        <v>-73.395707773120208</v>
      </c>
      <c r="P683" s="310">
        <f t="shared" ca="1" si="308"/>
        <v>23</v>
      </c>
      <c r="Q683" s="304">
        <f t="shared" ca="1" si="309"/>
        <v>0</v>
      </c>
      <c r="R683" s="306">
        <f t="shared" ca="1" si="310"/>
        <v>0</v>
      </c>
      <c r="S683" s="307">
        <f t="shared" ca="1" si="311"/>
        <v>5.6519999999999806</v>
      </c>
      <c r="T683" s="304">
        <f t="shared" ca="1" si="291"/>
        <v>55.446119999999816</v>
      </c>
      <c r="U683" s="311">
        <f t="shared" ca="1" si="292"/>
        <v>0</v>
      </c>
      <c r="V683" s="306">
        <f t="shared" ca="1" si="293"/>
        <v>0.86054659920877286</v>
      </c>
      <c r="W683" s="304">
        <f t="shared" ca="1" si="294"/>
        <v>9.1552789107870112</v>
      </c>
      <c r="Y683" s="314" t="str">
        <f t="shared" ca="1" si="312"/>
        <v/>
      </c>
      <c r="Z683" s="315" t="str">
        <f t="shared" ca="1" si="313"/>
        <v/>
      </c>
      <c r="AA683" s="316" t="str">
        <f t="shared" ca="1" si="314"/>
        <v/>
      </c>
      <c r="AC683" s="310" t="e">
        <f t="shared" ca="1" si="315"/>
        <v>#N/A</v>
      </c>
      <c r="AD683" s="323" t="e">
        <f t="shared" ca="1" si="316"/>
        <v>#N/A</v>
      </c>
      <c r="AE683" s="324" t="e">
        <f t="shared" ca="1" si="295"/>
        <v>#N/A</v>
      </c>
      <c r="AG683" s="306">
        <f t="shared" ca="1" si="317"/>
        <v>7.8037811923430844</v>
      </c>
      <c r="AH683" s="304">
        <f t="shared" ca="1" si="318"/>
        <v>-1.5871753849470824</v>
      </c>
    </row>
    <row r="684" spans="1:34" x14ac:dyDescent="0.2">
      <c r="A684" s="347">
        <f t="shared" ca="1" si="296"/>
        <v>0.1</v>
      </c>
      <c r="B684" s="304">
        <f t="shared" ca="1" si="297"/>
        <v>36.000000000000171</v>
      </c>
      <c r="D684" s="306">
        <f t="shared" ca="1" si="298"/>
        <v>-0.46288286395999245</v>
      </c>
      <c r="E684" s="307">
        <f t="shared" ca="1" si="299"/>
        <v>-8.257715058274977</v>
      </c>
      <c r="F684" s="304">
        <f t="shared" ca="1" si="300"/>
        <v>8.270678238778796</v>
      </c>
      <c r="G684" s="306">
        <f t="shared" ca="1" si="301"/>
        <v>22.862031584413611</v>
      </c>
      <c r="H684" s="307">
        <f t="shared" ca="1" si="302"/>
        <v>-77.649181366926641</v>
      </c>
      <c r="I684" s="304">
        <f t="shared" ca="1" si="303"/>
        <v>80.944844524655139</v>
      </c>
      <c r="J684" s="306">
        <f t="shared" ca="1" si="304"/>
        <v>1036.1574469997411</v>
      </c>
      <c r="K684" s="307">
        <f t="shared" ca="1" si="305"/>
        <v>3487.316001099412</v>
      </c>
      <c r="L684" s="304">
        <f t="shared" ca="1" si="290"/>
        <v>3637.9932856585942</v>
      </c>
      <c r="M684" s="306">
        <f t="shared" ca="1" si="306"/>
        <v>-1.2844599956432026</v>
      </c>
      <c r="N684" s="304">
        <f t="shared" ca="1" si="307"/>
        <v>-73.594136703747608</v>
      </c>
      <c r="P684" s="310">
        <f t="shared" ca="1" si="308"/>
        <v>23</v>
      </c>
      <c r="Q684" s="304">
        <f t="shared" ca="1" si="309"/>
        <v>0</v>
      </c>
      <c r="R684" s="306">
        <f t="shared" ca="1" si="310"/>
        <v>0</v>
      </c>
      <c r="S684" s="307">
        <f t="shared" ca="1" si="311"/>
        <v>5.6519999999999806</v>
      </c>
      <c r="T684" s="304">
        <f t="shared" ca="1" si="291"/>
        <v>55.446119999999816</v>
      </c>
      <c r="U684" s="311">
        <f t="shared" ca="1" si="292"/>
        <v>0</v>
      </c>
      <c r="V684" s="306">
        <f t="shared" ca="1" si="293"/>
        <v>0.861232415730532</v>
      </c>
      <c r="W684" s="304">
        <f t="shared" ca="1" si="294"/>
        <v>9.3414182643814634</v>
      </c>
      <c r="Y684" s="314" t="str">
        <f t="shared" ca="1" si="312"/>
        <v/>
      </c>
      <c r="Z684" s="315" t="str">
        <f t="shared" ca="1" si="313"/>
        <v/>
      </c>
      <c r="AA684" s="316" t="str">
        <f t="shared" ca="1" si="314"/>
        <v/>
      </c>
      <c r="AC684" s="310">
        <f t="shared" ca="1" si="315"/>
        <v>36.000000000000171</v>
      </c>
      <c r="AD684" s="323">
        <f t="shared" ca="1" si="316"/>
        <v>1036.1574469997411</v>
      </c>
      <c r="AE684" s="324" t="e">
        <f t="shared" ca="1" si="295"/>
        <v>#N/A</v>
      </c>
      <c r="AG684" s="306">
        <f t="shared" ca="1" si="317"/>
        <v>7.7811045204495048</v>
      </c>
      <c r="AH684" s="304">
        <f t="shared" ca="1" si="318"/>
        <v>-1.6198299559071201</v>
      </c>
    </row>
    <row r="685" spans="1:34" x14ac:dyDescent="0.2">
      <c r="A685" s="347">
        <f t="shared" ca="1" si="296"/>
        <v>0.1</v>
      </c>
      <c r="B685" s="304">
        <f t="shared" ca="1" si="297"/>
        <v>36.100000000000172</v>
      </c>
      <c r="D685" s="306">
        <f t="shared" ca="1" si="298"/>
        <v>-0.46680585234735478</v>
      </c>
      <c r="E685" s="307">
        <f t="shared" ca="1" si="299"/>
        <v>-8.2245288156817047</v>
      </c>
      <c r="F685" s="304">
        <f t="shared" ca="1" si="300"/>
        <v>8.2377655916980572</v>
      </c>
      <c r="G685" s="306">
        <f t="shared" ca="1" si="301"/>
        <v>22.815350999178875</v>
      </c>
      <c r="H685" s="307">
        <f t="shared" ca="1" si="302"/>
        <v>-78.471634248494809</v>
      </c>
      <c r="I685" s="304">
        <f t="shared" ca="1" si="303"/>
        <v>81.721096559243961</v>
      </c>
      <c r="J685" s="306">
        <f t="shared" ca="1" si="304"/>
        <v>1038.4413161289208</v>
      </c>
      <c r="K685" s="307">
        <f t="shared" ca="1" si="305"/>
        <v>3479.5099603186409</v>
      </c>
      <c r="L685" s="304">
        <f t="shared" ca="1" si="290"/>
        <v>3631.1637158079498</v>
      </c>
      <c r="M685" s="306">
        <f t="shared" ca="1" si="306"/>
        <v>-1.2878504763789573</v>
      </c>
      <c r="N685" s="304">
        <f t="shared" ca="1" si="307"/>
        <v>-73.788396940426779</v>
      </c>
      <c r="P685" s="310">
        <f t="shared" ca="1" si="308"/>
        <v>23</v>
      </c>
      <c r="Q685" s="304">
        <f t="shared" ca="1" si="309"/>
        <v>0</v>
      </c>
      <c r="R685" s="306">
        <f t="shared" ca="1" si="310"/>
        <v>0</v>
      </c>
      <c r="S685" s="307">
        <f t="shared" ca="1" si="311"/>
        <v>5.6519999999999806</v>
      </c>
      <c r="T685" s="304">
        <f t="shared" ca="1" si="291"/>
        <v>55.446119999999816</v>
      </c>
      <c r="U685" s="311">
        <f t="shared" ca="1" si="292"/>
        <v>0</v>
      </c>
      <c r="V685" s="306">
        <f t="shared" ca="1" si="293"/>
        <v>0.86192600837121669</v>
      </c>
      <c r="W685" s="304">
        <f t="shared" ca="1" si="294"/>
        <v>9.5291117611656553</v>
      </c>
      <c r="Y685" s="314" t="str">
        <f t="shared" ca="1" si="312"/>
        <v/>
      </c>
      <c r="Z685" s="315" t="str">
        <f t="shared" ca="1" si="313"/>
        <v/>
      </c>
      <c r="AA685" s="316" t="str">
        <f t="shared" ca="1" si="314"/>
        <v/>
      </c>
      <c r="AC685" s="310" t="e">
        <f t="shared" ca="1" si="315"/>
        <v>#N/A</v>
      </c>
      <c r="AD685" s="323" t="e">
        <f t="shared" ca="1" si="316"/>
        <v>#N/A</v>
      </c>
      <c r="AE685" s="324" t="e">
        <f t="shared" ca="1" si="295"/>
        <v>#N/A</v>
      </c>
      <c r="AG685" s="306">
        <f t="shared" ca="1" si="317"/>
        <v>7.7578232834205822</v>
      </c>
      <c r="AH685" s="304">
        <f t="shared" ca="1" si="318"/>
        <v>-1.6527633164156927</v>
      </c>
    </row>
    <row r="686" spans="1:34" x14ac:dyDescent="0.2">
      <c r="A686" s="347">
        <f t="shared" ca="1" si="296"/>
        <v>0.1</v>
      </c>
      <c r="B686" s="304">
        <f t="shared" ca="1" si="297"/>
        <v>36.200000000000173</v>
      </c>
      <c r="D686" s="306">
        <f t="shared" ca="1" si="298"/>
        <v>-0.47069895743287582</v>
      </c>
      <c r="E686" s="307">
        <f t="shared" ca="1" si="299"/>
        <v>-8.1910673598600443</v>
      </c>
      <c r="F686" s="304">
        <f t="shared" ca="1" si="300"/>
        <v>8.2045805500520856</v>
      </c>
      <c r="G686" s="306">
        <f t="shared" ca="1" si="301"/>
        <v>22.768281103435587</v>
      </c>
      <c r="H686" s="307">
        <f t="shared" ca="1" si="302"/>
        <v>-79.29074098448082</v>
      </c>
      <c r="I686" s="304">
        <f t="shared" ca="1" si="303"/>
        <v>82.494946695376967</v>
      </c>
      <c r="J686" s="306">
        <f t="shared" ca="1" si="304"/>
        <v>1040.7204977340516</v>
      </c>
      <c r="K686" s="307">
        <f t="shared" ca="1" si="305"/>
        <v>3471.621841556992</v>
      </c>
      <c r="L686" s="304">
        <f t="shared" ca="1" si="290"/>
        <v>3624.2595609557784</v>
      </c>
      <c r="M686" s="306">
        <f t="shared" ca="1" si="306"/>
        <v>-1.2911704560768296</v>
      </c>
      <c r="N686" s="304">
        <f t="shared" ca="1" si="307"/>
        <v>-73.978617765183969</v>
      </c>
      <c r="P686" s="310">
        <f t="shared" ca="1" si="308"/>
        <v>23</v>
      </c>
      <c r="Q686" s="304">
        <f t="shared" ca="1" si="309"/>
        <v>0</v>
      </c>
      <c r="R686" s="306">
        <f t="shared" ca="1" si="310"/>
        <v>0</v>
      </c>
      <c r="S686" s="307">
        <f t="shared" ca="1" si="311"/>
        <v>5.6519999999999806</v>
      </c>
      <c r="T686" s="304">
        <f t="shared" ca="1" si="291"/>
        <v>55.446119999999816</v>
      </c>
      <c r="U686" s="311">
        <f t="shared" ca="1" si="292"/>
        <v>0</v>
      </c>
      <c r="V686" s="306">
        <f t="shared" ca="1" si="293"/>
        <v>0.86262736255593919</v>
      </c>
      <c r="W686" s="304">
        <f t="shared" ca="1" si="294"/>
        <v>9.7183377027356137</v>
      </c>
      <c r="Y686" s="314" t="str">
        <f t="shared" ca="1" si="312"/>
        <v/>
      </c>
      <c r="Z686" s="315" t="str">
        <f t="shared" ca="1" si="313"/>
        <v/>
      </c>
      <c r="AA686" s="316" t="str">
        <f t="shared" ca="1" si="314"/>
        <v/>
      </c>
      <c r="AC686" s="310" t="e">
        <f t="shared" ca="1" si="315"/>
        <v>#N/A</v>
      </c>
      <c r="AD686" s="323" t="e">
        <f t="shared" ca="1" si="316"/>
        <v>#N/A</v>
      </c>
      <c r="AE686" s="324" t="e">
        <f t="shared" ca="1" si="295"/>
        <v>#N/A</v>
      </c>
      <c r="AG686" s="306">
        <f t="shared" ca="1" si="317"/>
        <v>7.7339549596076793</v>
      </c>
      <c r="AH686" s="304">
        <f t="shared" ca="1" si="318"/>
        <v>-1.685971649180058</v>
      </c>
    </row>
    <row r="687" spans="1:34" x14ac:dyDescent="0.2">
      <c r="A687" s="347">
        <f t="shared" ca="1" si="296"/>
        <v>0.1</v>
      </c>
      <c r="B687" s="304">
        <f t="shared" ca="1" si="297"/>
        <v>36.300000000000175</v>
      </c>
      <c r="D687" s="306">
        <f t="shared" ca="1" si="298"/>
        <v>-0.47456175076447044</v>
      </c>
      <c r="E687" s="307">
        <f t="shared" ca="1" si="299"/>
        <v>-8.1573344917842974</v>
      </c>
      <c r="F687" s="304">
        <f t="shared" ca="1" si="300"/>
        <v>8.1711269030741676</v>
      </c>
      <c r="G687" s="306">
        <f t="shared" ca="1" si="301"/>
        <v>22.720824928359139</v>
      </c>
      <c r="H687" s="307">
        <f t="shared" ca="1" si="302"/>
        <v>-80.106474433659244</v>
      </c>
      <c r="I687" s="304">
        <f t="shared" ca="1" si="303"/>
        <v>83.266338526535733</v>
      </c>
      <c r="J687" s="306">
        <f t="shared" ca="1" si="304"/>
        <v>1042.9949530356414</v>
      </c>
      <c r="K687" s="307">
        <f t="shared" ca="1" si="305"/>
        <v>3463.651980786085</v>
      </c>
      <c r="L687" s="304">
        <f t="shared" ca="1" si="290"/>
        <v>3617.2812326471367</v>
      </c>
      <c r="M687" s="306">
        <f t="shared" ca="1" si="306"/>
        <v>-1.294422101661669</v>
      </c>
      <c r="N687" s="304">
        <f t="shared" ca="1" si="307"/>
        <v>-74.164923333667616</v>
      </c>
      <c r="P687" s="310">
        <f t="shared" ca="1" si="308"/>
        <v>23</v>
      </c>
      <c r="Q687" s="304">
        <f t="shared" ca="1" si="309"/>
        <v>0</v>
      </c>
      <c r="R687" s="306">
        <f t="shared" ca="1" si="310"/>
        <v>0</v>
      </c>
      <c r="S687" s="307">
        <f t="shared" ca="1" si="311"/>
        <v>5.6519999999999806</v>
      </c>
      <c r="T687" s="304">
        <f t="shared" ca="1" si="291"/>
        <v>55.446119999999816</v>
      </c>
      <c r="U687" s="311">
        <f t="shared" ca="1" si="292"/>
        <v>0</v>
      </c>
      <c r="V687" s="306">
        <f t="shared" ca="1" si="293"/>
        <v>0.86333646357033933</v>
      </c>
      <c r="W687" s="304">
        <f t="shared" ca="1" si="294"/>
        <v>9.9090742718187244</v>
      </c>
      <c r="Y687" s="314" t="str">
        <f t="shared" ca="1" si="312"/>
        <v/>
      </c>
      <c r="Z687" s="315" t="str">
        <f t="shared" ca="1" si="313"/>
        <v/>
      </c>
      <c r="AA687" s="316" t="str">
        <f t="shared" ca="1" si="314"/>
        <v/>
      </c>
      <c r="AC687" s="310" t="e">
        <f t="shared" ca="1" si="315"/>
        <v>#N/A</v>
      </c>
      <c r="AD687" s="323" t="e">
        <f t="shared" ca="1" si="316"/>
        <v>#N/A</v>
      </c>
      <c r="AE687" s="324" t="e">
        <f t="shared" ca="1" si="295"/>
        <v>#N/A</v>
      </c>
      <c r="AG687" s="306">
        <f t="shared" ca="1" si="317"/>
        <v>7.709516357626029</v>
      </c>
      <c r="AH687" s="304">
        <f t="shared" ca="1" si="318"/>
        <v>-1.7194511151336955</v>
      </c>
    </row>
    <row r="688" spans="1:34" x14ac:dyDescent="0.2">
      <c r="A688" s="347">
        <f t="shared" ca="1" si="296"/>
        <v>0.1</v>
      </c>
      <c r="B688" s="304">
        <f t="shared" ca="1" si="297"/>
        <v>36.400000000000176</v>
      </c>
      <c r="D688" s="306">
        <f t="shared" ca="1" si="298"/>
        <v>-0.47839381693092725</v>
      </c>
      <c r="E688" s="307">
        <f t="shared" ca="1" si="299"/>
        <v>-8.1233340366807898</v>
      </c>
      <c r="F688" s="304">
        <f t="shared" ca="1" si="300"/>
        <v>8.1374084643438138</v>
      </c>
      <c r="G688" s="306">
        <f t="shared" ca="1" si="301"/>
        <v>22.672985546666048</v>
      </c>
      <c r="H688" s="307">
        <f t="shared" ca="1" si="302"/>
        <v>-80.918807837327321</v>
      </c>
      <c r="I688" s="304">
        <f t="shared" ca="1" si="303"/>
        <v>84.035217233095992</v>
      </c>
      <c r="J688" s="306">
        <f t="shared" ca="1" si="304"/>
        <v>1045.2646435593927</v>
      </c>
      <c r="K688" s="307">
        <f t="shared" ca="1" si="305"/>
        <v>3455.6007166725358</v>
      </c>
      <c r="L688" s="304">
        <f t="shared" ca="1" si="290"/>
        <v>3610.2291462098478</v>
      </c>
      <c r="M688" s="306">
        <f t="shared" ca="1" si="306"/>
        <v>-1.2976074948148966</v>
      </c>
      <c r="N688" s="304">
        <f t="shared" ca="1" si="307"/>
        <v>-74.34743291743743</v>
      </c>
      <c r="P688" s="310">
        <f t="shared" ca="1" si="308"/>
        <v>23</v>
      </c>
      <c r="Q688" s="304">
        <f t="shared" ca="1" si="309"/>
        <v>0</v>
      </c>
      <c r="R688" s="306">
        <f t="shared" ca="1" si="310"/>
        <v>0</v>
      </c>
      <c r="S688" s="307">
        <f t="shared" ca="1" si="311"/>
        <v>5.6519999999999806</v>
      </c>
      <c r="T688" s="304">
        <f t="shared" ca="1" si="291"/>
        <v>55.446119999999816</v>
      </c>
      <c r="U688" s="311">
        <f t="shared" ca="1" si="292"/>
        <v>0</v>
      </c>
      <c r="V688" s="306">
        <f t="shared" ca="1" si="293"/>
        <v>0.86405329656171137</v>
      </c>
      <c r="W688" s="304">
        <f t="shared" ca="1" si="294"/>
        <v>10.101299536489103</v>
      </c>
      <c r="Y688" s="314" t="str">
        <f t="shared" ca="1" si="312"/>
        <v/>
      </c>
      <c r="Z688" s="315" t="str">
        <f t="shared" ca="1" si="313"/>
        <v/>
      </c>
      <c r="AA688" s="316" t="str">
        <f t="shared" ca="1" si="314"/>
        <v/>
      </c>
      <c r="AC688" s="310" t="e">
        <f t="shared" ca="1" si="315"/>
        <v>#N/A</v>
      </c>
      <c r="AD688" s="323" t="e">
        <f t="shared" ca="1" si="316"/>
        <v>#N/A</v>
      </c>
      <c r="AE688" s="324" t="e">
        <f t="shared" ca="1" si="295"/>
        <v>#N/A</v>
      </c>
      <c r="AG688" s="306">
        <f t="shared" ca="1" si="317"/>
        <v>7.6845236561018249</v>
      </c>
      <c r="AH688" s="304">
        <f t="shared" ca="1" si="318"/>
        <v>-1.753197854178832</v>
      </c>
    </row>
    <row r="689" spans="1:34" x14ac:dyDescent="0.2">
      <c r="A689" s="347">
        <f t="shared" ca="1" si="296"/>
        <v>0.1</v>
      </c>
      <c r="B689" s="304">
        <f t="shared" ca="1" si="297"/>
        <v>36.500000000000178</v>
      </c>
      <c r="D689" s="306">
        <f t="shared" ca="1" si="298"/>
        <v>-0.48219475320127531</v>
      </c>
      <c r="E689" s="307">
        <f t="shared" ca="1" si="299"/>
        <v>-8.089069843089149</v>
      </c>
      <c r="F689" s="304">
        <f t="shared" ca="1" si="300"/>
        <v>8.1034290708556913</v>
      </c>
      <c r="G689" s="306">
        <f t="shared" ca="1" si="301"/>
        <v>22.62476607134592</v>
      </c>
      <c r="H689" s="307">
        <f t="shared" ca="1" si="302"/>
        <v>-81.727714821636241</v>
      </c>
      <c r="I689" s="304">
        <f t="shared" ca="1" si="303"/>
        <v>84.801529524825355</v>
      </c>
      <c r="J689" s="306">
        <f t="shared" ca="1" si="304"/>
        <v>1047.5295311402933</v>
      </c>
      <c r="K689" s="307">
        <f t="shared" ca="1" si="305"/>
        <v>3447.4683905395877</v>
      </c>
      <c r="L689" s="304">
        <f t="shared" ca="1" si="290"/>
        <v>3603.1037207358627</v>
      </c>
      <c r="M689" s="306">
        <f t="shared" ca="1" si="306"/>
        <v>-1.3007286359759211</v>
      </c>
      <c r="N689" s="304">
        <f t="shared" ca="1" si="307"/>
        <v>-74.526261133228701</v>
      </c>
      <c r="P689" s="310">
        <f t="shared" ca="1" si="308"/>
        <v>23</v>
      </c>
      <c r="Q689" s="304">
        <f t="shared" ca="1" si="309"/>
        <v>0</v>
      </c>
      <c r="R689" s="306">
        <f t="shared" ca="1" si="310"/>
        <v>0</v>
      </c>
      <c r="S689" s="307">
        <f t="shared" ca="1" si="311"/>
        <v>5.6519999999999806</v>
      </c>
      <c r="T689" s="304">
        <f t="shared" ca="1" si="291"/>
        <v>55.446119999999816</v>
      </c>
      <c r="U689" s="311">
        <f t="shared" ca="1" si="292"/>
        <v>0</v>
      </c>
      <c r="V689" s="306">
        <f t="shared" ca="1" si="293"/>
        <v>0.86477784654014778</v>
      </c>
      <c r="W689" s="304">
        <f t="shared" ca="1" si="294"/>
        <v>10.294991454400224</v>
      </c>
      <c r="Y689" s="314" t="str">
        <f t="shared" ca="1" si="312"/>
        <v/>
      </c>
      <c r="Z689" s="315" t="str">
        <f t="shared" ca="1" si="313"/>
        <v/>
      </c>
      <c r="AA689" s="316" t="str">
        <f t="shared" ca="1" si="314"/>
        <v/>
      </c>
      <c r="AC689" s="310" t="e">
        <f t="shared" ca="1" si="315"/>
        <v>#N/A</v>
      </c>
      <c r="AD689" s="323" t="e">
        <f t="shared" ca="1" si="316"/>
        <v>#N/A</v>
      </c>
      <c r="AE689" s="324" t="e">
        <f t="shared" ca="1" si="295"/>
        <v>#N/A</v>
      </c>
      <c r="AG689" s="306">
        <f t="shared" ca="1" si="317"/>
        <v>7.6589924407568226</v>
      </c>
      <c r="AH689" s="304">
        <f t="shared" ca="1" si="318"/>
        <v>-1.7872079859322607</v>
      </c>
    </row>
    <row r="690" spans="1:34" x14ac:dyDescent="0.2">
      <c r="A690" s="347">
        <f t="shared" ca="1" si="296"/>
        <v>0.1</v>
      </c>
      <c r="B690" s="304">
        <f t="shared" ca="1" si="297"/>
        <v>36.600000000000179</v>
      </c>
      <c r="D690" s="306">
        <f t="shared" ca="1" si="298"/>
        <v>-0.48596416918528573</v>
      </c>
      <c r="E690" s="307">
        <f t="shared" ca="1" si="299"/>
        <v>-8.0545457819336601</v>
      </c>
      <c r="F690" s="304">
        <f t="shared" ca="1" si="300"/>
        <v>8.0691925820987365</v>
      </c>
      <c r="G690" s="306">
        <f t="shared" ca="1" si="301"/>
        <v>22.576169654427392</v>
      </c>
      <c r="H690" s="307">
        <f t="shared" ca="1" si="302"/>
        <v>-82.533169399829603</v>
      </c>
      <c r="I690" s="304">
        <f t="shared" ca="1" si="303"/>
        <v>85.565223586726276</v>
      </c>
      <c r="J690" s="306">
        <f t="shared" ca="1" si="304"/>
        <v>1049.7895779265821</v>
      </c>
      <c r="K690" s="307">
        <f t="shared" ca="1" si="305"/>
        <v>3439.2553463285144</v>
      </c>
      <c r="L690" s="304">
        <f t="shared" ca="1" si="290"/>
        <v>3595.9053790627668</v>
      </c>
      <c r="M690" s="306">
        <f t="shared" ca="1" si="306"/>
        <v>-1.3037874481295904</v>
      </c>
      <c r="N690" s="304">
        <f t="shared" ca="1" si="307"/>
        <v>-74.70151815995726</v>
      </c>
      <c r="P690" s="310">
        <f t="shared" ca="1" si="308"/>
        <v>23</v>
      </c>
      <c r="Q690" s="304">
        <f t="shared" ca="1" si="309"/>
        <v>0</v>
      </c>
      <c r="R690" s="306">
        <f t="shared" ca="1" si="310"/>
        <v>0</v>
      </c>
      <c r="S690" s="307">
        <f t="shared" ca="1" si="311"/>
        <v>5.6519999999999806</v>
      </c>
      <c r="T690" s="304">
        <f t="shared" ca="1" si="291"/>
        <v>55.446119999999816</v>
      </c>
      <c r="U690" s="311">
        <f t="shared" ca="1" si="292"/>
        <v>0</v>
      </c>
      <c r="V690" s="306">
        <f t="shared" ca="1" si="293"/>
        <v>0.86551009837969439</v>
      </c>
      <c r="W690" s="304">
        <f t="shared" ca="1" si="294"/>
        <v>10.490127877033318</v>
      </c>
      <c r="Y690" s="314" t="str">
        <f t="shared" ca="1" si="312"/>
        <v/>
      </c>
      <c r="Z690" s="315" t="str">
        <f t="shared" ca="1" si="313"/>
        <v/>
      </c>
      <c r="AA690" s="316" t="str">
        <f t="shared" ca="1" si="314"/>
        <v/>
      </c>
      <c r="AC690" s="310" t="e">
        <f t="shared" ca="1" si="315"/>
        <v>#N/A</v>
      </c>
      <c r="AD690" s="323" t="e">
        <f t="shared" ca="1" si="316"/>
        <v>#N/A</v>
      </c>
      <c r="AE690" s="324" t="e">
        <f t="shared" ca="1" si="295"/>
        <v>#N/A</v>
      </c>
      <c r="AG690" s="306">
        <f t="shared" ca="1" si="317"/>
        <v>7.6329377390218403</v>
      </c>
      <c r="AH690" s="304">
        <f t="shared" ca="1" si="318"/>
        <v>-1.8214776104742143</v>
      </c>
    </row>
    <row r="691" spans="1:34" x14ac:dyDescent="0.2">
      <c r="A691" s="347">
        <f t="shared" ca="1" si="296"/>
        <v>0.1</v>
      </c>
      <c r="B691" s="304">
        <f t="shared" ca="1" si="297"/>
        <v>36.70000000000018</v>
      </c>
      <c r="D691" s="306">
        <f t="shared" ca="1" si="298"/>
        <v>-0.48970168651363388</v>
      </c>
      <c r="E691" s="307">
        <f t="shared" ca="1" si="299"/>
        <v>-8.0197657456039746</v>
      </c>
      <c r="F691" s="304">
        <f t="shared" ca="1" si="300"/>
        <v>8.0347028791447652</v>
      </c>
      <c r="G691" s="306">
        <f t="shared" ca="1" si="301"/>
        <v>22.52719948577603</v>
      </c>
      <c r="H691" s="307">
        <f t="shared" ca="1" si="302"/>
        <v>-83.335145974390002</v>
      </c>
      <c r="I691" s="304">
        <f t="shared" ca="1" si="303"/>
        <v>86.326249028003289</v>
      </c>
      <c r="J691" s="306">
        <f t="shared" ca="1" si="304"/>
        <v>1052.0447463835922</v>
      </c>
      <c r="K691" s="307">
        <f t="shared" ca="1" si="305"/>
        <v>3430.9619305598035</v>
      </c>
      <c r="L691" s="304">
        <f t="shared" ca="1" si="290"/>
        <v>3588.634547755451</v>
      </c>
      <c r="M691" s="306">
        <f t="shared" ca="1" si="306"/>
        <v>-1.3067857803922101</v>
      </c>
      <c r="N691" s="304">
        <f t="shared" ca="1" si="307"/>
        <v>-74.873309944183291</v>
      </c>
      <c r="P691" s="310">
        <f t="shared" ca="1" si="308"/>
        <v>23</v>
      </c>
      <c r="Q691" s="304">
        <f t="shared" ca="1" si="309"/>
        <v>0</v>
      </c>
      <c r="R691" s="306">
        <f t="shared" ca="1" si="310"/>
        <v>0</v>
      </c>
      <c r="S691" s="307">
        <f t="shared" ca="1" si="311"/>
        <v>5.6519999999999806</v>
      </c>
      <c r="T691" s="304">
        <f t="shared" ca="1" si="291"/>
        <v>55.446119999999816</v>
      </c>
      <c r="U691" s="311">
        <f t="shared" ca="1" si="292"/>
        <v>0</v>
      </c>
      <c r="V691" s="306">
        <f t="shared" ca="1" si="293"/>
        <v>0.86625003681952184</v>
      </c>
      <c r="W691" s="304">
        <f t="shared" ca="1" si="294"/>
        <v>10.686686553960309</v>
      </c>
      <c r="Y691" s="314" t="str">
        <f t="shared" ca="1" si="312"/>
        <v/>
      </c>
      <c r="Z691" s="315" t="str">
        <f t="shared" ca="1" si="313"/>
        <v/>
      </c>
      <c r="AA691" s="316" t="str">
        <f t="shared" ca="1" si="314"/>
        <v/>
      </c>
      <c r="AC691" s="310" t="e">
        <f t="shared" ca="1" si="315"/>
        <v>#N/A</v>
      </c>
      <c r="AD691" s="323" t="e">
        <f t="shared" ca="1" si="316"/>
        <v>#N/A</v>
      </c>
      <c r="AE691" s="324" t="e">
        <f t="shared" ca="1" si="295"/>
        <v>#N/A</v>
      </c>
      <c r="AG691" s="306">
        <f t="shared" ca="1" si="317"/>
        <v>7.6063740523557479</v>
      </c>
      <c r="AH691" s="304">
        <f t="shared" ca="1" si="318"/>
        <v>-1.8560028091000274</v>
      </c>
    </row>
    <row r="692" spans="1:34" x14ac:dyDescent="0.2">
      <c r="A692" s="347">
        <f t="shared" ca="1" si="296"/>
        <v>0.1</v>
      </c>
      <c r="B692" s="304">
        <f t="shared" ca="1" si="297"/>
        <v>36.800000000000182</v>
      </c>
      <c r="D692" s="306">
        <f t="shared" ca="1" si="298"/>
        <v>-0.49340693853636752</v>
      </c>
      <c r="E692" s="307">
        <f t="shared" ca="1" si="299"/>
        <v>-7.984733647044429</v>
      </c>
      <c r="F692" s="304">
        <f t="shared" ca="1" si="300"/>
        <v>7.9999638637458395</v>
      </c>
      <c r="G692" s="306">
        <f t="shared" ca="1" si="301"/>
        <v>22.477858791922394</v>
      </c>
      <c r="H692" s="307">
        <f t="shared" ca="1" si="302"/>
        <v>-84.133619339094452</v>
      </c>
      <c r="I692" s="304">
        <f t="shared" ca="1" si="303"/>
        <v>87.084556833948753</v>
      </c>
      <c r="J692" s="306">
        <f t="shared" ca="1" si="304"/>
        <v>1054.294999297477</v>
      </c>
      <c r="K692" s="307">
        <f t="shared" ca="1" si="305"/>
        <v>3422.5884922941291</v>
      </c>
      <c r="L692" s="304">
        <f t="shared" ca="1" si="290"/>
        <v>3581.2916570879656</v>
      </c>
      <c r="M692" s="306">
        <f t="shared" ca="1" si="306"/>
        <v>-1.3097254114078947</v>
      </c>
      <c r="N692" s="304">
        <f t="shared" ca="1" si="307"/>
        <v>-75.041738394707764</v>
      </c>
      <c r="P692" s="310">
        <f t="shared" ca="1" si="308"/>
        <v>23</v>
      </c>
      <c r="Q692" s="304">
        <f t="shared" ca="1" si="309"/>
        <v>0</v>
      </c>
      <c r="R692" s="306">
        <f t="shared" ca="1" si="310"/>
        <v>0</v>
      </c>
      <c r="S692" s="307">
        <f t="shared" ca="1" si="311"/>
        <v>5.6519999999999806</v>
      </c>
      <c r="T692" s="304">
        <f t="shared" ca="1" si="291"/>
        <v>55.446119999999816</v>
      </c>
      <c r="U692" s="311">
        <f t="shared" ca="1" si="292"/>
        <v>0</v>
      </c>
      <c r="V692" s="306">
        <f t="shared" ca="1" si="293"/>
        <v>0.86699764646510624</v>
      </c>
      <c r="W692" s="304">
        <f t="shared" ca="1" si="294"/>
        <v>10.884645137119708</v>
      </c>
      <c r="Y692" s="314" t="str">
        <f t="shared" ca="1" si="312"/>
        <v/>
      </c>
      <c r="Z692" s="315" t="str">
        <f t="shared" ca="1" si="313"/>
        <v/>
      </c>
      <c r="AA692" s="316" t="str">
        <f t="shared" ca="1" si="314"/>
        <v/>
      </c>
      <c r="AC692" s="310" t="e">
        <f t="shared" ca="1" si="315"/>
        <v>#N/A</v>
      </c>
      <c r="AD692" s="323" t="e">
        <f t="shared" ca="1" si="316"/>
        <v>#N/A</v>
      </c>
      <c r="AE692" s="324" t="e">
        <f t="shared" ca="1" si="295"/>
        <v>#N/A</v>
      </c>
      <c r="AG692" s="306">
        <f t="shared" ca="1" si="317"/>
        <v>7.5793153864330467</v>
      </c>
      <c r="AH692" s="304">
        <f t="shared" ca="1" si="318"/>
        <v>-1.890779645074371</v>
      </c>
    </row>
    <row r="693" spans="1:34" x14ac:dyDescent="0.2">
      <c r="A693" s="347">
        <f t="shared" ca="1" si="296"/>
        <v>0.1</v>
      </c>
      <c r="B693" s="304">
        <f t="shared" ca="1" si="297"/>
        <v>36.900000000000183</v>
      </c>
      <c r="D693" s="306">
        <f t="shared" ca="1" si="298"/>
        <v>-0.49707957003840941</v>
      </c>
      <c r="E693" s="307">
        <f t="shared" ca="1" si="299"/>
        <v>-7.9494534188513981</v>
      </c>
      <c r="F693" s="304">
        <f t="shared" ca="1" si="300"/>
        <v>7.9649794574397834</v>
      </c>
      <c r="G693" s="306">
        <f t="shared" ca="1" si="301"/>
        <v>22.428150834918554</v>
      </c>
      <c r="H693" s="307">
        <f t="shared" ca="1" si="302"/>
        <v>-84.928564680979591</v>
      </c>
      <c r="I693" s="304">
        <f t="shared" ca="1" si="303"/>
        <v>87.840099320556277</v>
      </c>
      <c r="J693" s="306">
        <f t="shared" ca="1" si="304"/>
        <v>1056.5402997788192</v>
      </c>
      <c r="K693" s="307">
        <f t="shared" ca="1" si="305"/>
        <v>3414.1353830931253</v>
      </c>
      <c r="L693" s="304">
        <f t="shared" ca="1" si="290"/>
        <v>3573.8771410255777</v>
      </c>
      <c r="M693" s="306">
        <f t="shared" ca="1" si="306"/>
        <v>-1.3126080525662849</v>
      </c>
      <c r="N693" s="304">
        <f t="shared" ca="1" si="307"/>
        <v>-75.206901566934235</v>
      </c>
      <c r="P693" s="310">
        <f t="shared" ca="1" si="308"/>
        <v>23</v>
      </c>
      <c r="Q693" s="304">
        <f t="shared" ca="1" si="309"/>
        <v>0</v>
      </c>
      <c r="R693" s="306">
        <f t="shared" ca="1" si="310"/>
        <v>0</v>
      </c>
      <c r="S693" s="307">
        <f t="shared" ca="1" si="311"/>
        <v>5.6519999999999806</v>
      </c>
      <c r="T693" s="304">
        <f t="shared" ca="1" si="291"/>
        <v>55.446119999999816</v>
      </c>
      <c r="U693" s="311">
        <f t="shared" ca="1" si="292"/>
        <v>0</v>
      </c>
      <c r="V693" s="306">
        <f t="shared" ca="1" si="293"/>
        <v>0.86775291178942748</v>
      </c>
      <c r="W693" s="304">
        <f t="shared" ca="1" si="294"/>
        <v>11.083981185104312</v>
      </c>
      <c r="Y693" s="314" t="str">
        <f t="shared" ca="1" si="312"/>
        <v/>
      </c>
      <c r="Z693" s="315" t="str">
        <f t="shared" ca="1" si="313"/>
        <v/>
      </c>
      <c r="AA693" s="316" t="str">
        <f t="shared" ca="1" si="314"/>
        <v/>
      </c>
      <c r="AC693" s="310" t="e">
        <f t="shared" ca="1" si="315"/>
        <v>#N/A</v>
      </c>
      <c r="AD693" s="323" t="e">
        <f t="shared" ca="1" si="316"/>
        <v>#N/A</v>
      </c>
      <c r="AE693" s="324" t="e">
        <f t="shared" ca="1" si="295"/>
        <v>#N/A</v>
      </c>
      <c r="AG693" s="306">
        <f t="shared" ca="1" si="317"/>
        <v>7.551775279350796</v>
      </c>
      <c r="AH693" s="304">
        <f t="shared" ca="1" si="318"/>
        <v>-1.9258041643877823</v>
      </c>
    </row>
    <row r="694" spans="1:34" x14ac:dyDescent="0.2">
      <c r="A694" s="347">
        <f t="shared" ca="1" si="296"/>
        <v>0.1</v>
      </c>
      <c r="B694" s="304">
        <f t="shared" ca="1" si="297"/>
        <v>37.000000000000185</v>
      </c>
      <c r="D694" s="306">
        <f t="shared" ca="1" si="298"/>
        <v>-0.50071923697093257</v>
      </c>
      <c r="E694" s="307">
        <f t="shared" ca="1" si="299"/>
        <v>-7.9139290123781176</v>
      </c>
      <c r="F694" s="304">
        <f t="shared" ca="1" si="300"/>
        <v>7.9297536006633171</v>
      </c>
      <c r="G694" s="306">
        <f t="shared" ca="1" si="301"/>
        <v>22.378078911221461</v>
      </c>
      <c r="H694" s="307">
        <f t="shared" ca="1" si="302"/>
        <v>-85.719957582217404</v>
      </c>
      <c r="I694" s="304">
        <f t="shared" ca="1" si="303"/>
        <v>88.592830091684093</v>
      </c>
      <c r="J694" s="306">
        <f t="shared" ca="1" si="304"/>
        <v>1058.7806112661262</v>
      </c>
      <c r="K694" s="307">
        <f t="shared" ca="1" si="305"/>
        <v>3405.6029569799653</v>
      </c>
      <c r="L694" s="304">
        <f t="shared" ca="1" si="290"/>
        <v>3566.3914372070485</v>
      </c>
      <c r="M694" s="306">
        <f t="shared" ca="1" si="306"/>
        <v>-1.3154353510519949</v>
      </c>
      <c r="N694" s="304">
        <f t="shared" ca="1" si="307"/>
        <v>-75.368893837589141</v>
      </c>
      <c r="P694" s="310">
        <f t="shared" ca="1" si="308"/>
        <v>23</v>
      </c>
      <c r="Q694" s="304">
        <f t="shared" ca="1" si="309"/>
        <v>0</v>
      </c>
      <c r="R694" s="306">
        <f t="shared" ca="1" si="310"/>
        <v>0</v>
      </c>
      <c r="S694" s="307">
        <f t="shared" ca="1" si="311"/>
        <v>5.6519999999999806</v>
      </c>
      <c r="T694" s="304">
        <f t="shared" ca="1" si="291"/>
        <v>55.446119999999816</v>
      </c>
      <c r="U694" s="311">
        <f t="shared" ca="1" si="292"/>
        <v>0</v>
      </c>
      <c r="V694" s="306">
        <f t="shared" ca="1" si="293"/>
        <v>0.86851581713417625</v>
      </c>
      <c r="W694" s="304">
        <f t="shared" ca="1" si="294"/>
        <v>11.284672167459179</v>
      </c>
      <c r="Y694" s="314" t="str">
        <f t="shared" ca="1" si="312"/>
        <v/>
      </c>
      <c r="Z694" s="315" t="str">
        <f t="shared" ca="1" si="313"/>
        <v/>
      </c>
      <c r="AA694" s="316" t="str">
        <f t="shared" ca="1" si="314"/>
        <v/>
      </c>
      <c r="AC694" s="310">
        <f t="shared" ca="1" si="315"/>
        <v>37.000000000000185</v>
      </c>
      <c r="AD694" s="323">
        <f t="shared" ca="1" si="316"/>
        <v>1058.7806112661262</v>
      </c>
      <c r="AE694" s="324" t="e">
        <f t="shared" ca="1" si="295"/>
        <v>#N/A</v>
      </c>
      <c r="AG694" s="306">
        <f t="shared" ca="1" si="317"/>
        <v>7.5237668279940779</v>
      </c>
      <c r="AH694" s="304">
        <f t="shared" ca="1" si="318"/>
        <v>-1.9610723965152779</v>
      </c>
    </row>
    <row r="695" spans="1:34" x14ac:dyDescent="0.2">
      <c r="A695" s="347">
        <f t="shared" ca="1" si="296"/>
        <v>0.1</v>
      </c>
      <c r="B695" s="304">
        <f t="shared" ca="1" si="297"/>
        <v>37.100000000000186</v>
      </c>
      <c r="D695" s="306">
        <f t="shared" ca="1" si="298"/>
        <v>-0.50432560619750111</v>
      </c>
      <c r="E695" s="307">
        <f t="shared" ca="1" si="299"/>
        <v>-7.8781643968465129</v>
      </c>
      <c r="F695" s="304">
        <f t="shared" ca="1" si="300"/>
        <v>7.8942902518723272</v>
      </c>
      <c r="G695" s="306">
        <f t="shared" ca="1" si="301"/>
        <v>22.327646350601711</v>
      </c>
      <c r="H695" s="307">
        <f t="shared" ca="1" si="302"/>
        <v>-86.507774021902051</v>
      </c>
      <c r="I695" s="304">
        <f t="shared" ca="1" si="303"/>
        <v>89.342703998603099</v>
      </c>
      <c r="J695" s="306">
        <f t="shared" ca="1" si="304"/>
        <v>1061.0158975292175</v>
      </c>
      <c r="K695" s="307">
        <f t="shared" ca="1" si="305"/>
        <v>3396.9915703997594</v>
      </c>
      <c r="L695" s="304">
        <f t="shared" ca="1" si="290"/>
        <v>3558.8349869271478</v>
      </c>
      <c r="M695" s="306">
        <f t="shared" ca="1" si="306"/>
        <v>-1.3182088927355025</v>
      </c>
      <c r="N695" s="304">
        <f t="shared" ca="1" si="307"/>
        <v>-75.527806070357741</v>
      </c>
      <c r="P695" s="310">
        <f t="shared" ca="1" si="308"/>
        <v>23</v>
      </c>
      <c r="Q695" s="304">
        <f t="shared" ca="1" si="309"/>
        <v>0</v>
      </c>
      <c r="R695" s="306">
        <f t="shared" ca="1" si="310"/>
        <v>0</v>
      </c>
      <c r="S695" s="307">
        <f t="shared" ca="1" si="311"/>
        <v>5.6519999999999806</v>
      </c>
      <c r="T695" s="304">
        <f t="shared" ca="1" si="291"/>
        <v>55.446119999999816</v>
      </c>
      <c r="U695" s="311">
        <f t="shared" ca="1" si="292"/>
        <v>0</v>
      </c>
      <c r="V695" s="306">
        <f t="shared" ca="1" si="293"/>
        <v>0.86928634671097527</v>
      </c>
      <c r="W695" s="304">
        <f t="shared" ca="1" si="294"/>
        <v>11.486695468988589</v>
      </c>
      <c r="Y695" s="314" t="str">
        <f t="shared" ca="1" si="312"/>
        <v/>
      </c>
      <c r="Z695" s="315" t="str">
        <f t="shared" ca="1" si="313"/>
        <v/>
      </c>
      <c r="AA695" s="316" t="str">
        <f t="shared" ca="1" si="314"/>
        <v/>
      </c>
      <c r="AC695" s="310" t="e">
        <f t="shared" ca="1" si="315"/>
        <v>#N/A</v>
      </c>
      <c r="AD695" s="323" t="e">
        <f t="shared" ca="1" si="316"/>
        <v>#N/A</v>
      </c>
      <c r="AE695" s="324" t="e">
        <f t="shared" ca="1" si="295"/>
        <v>#N/A</v>
      </c>
      <c r="AG695" s="306">
        <f t="shared" ca="1" si="317"/>
        <v>7.4953027126888392</v>
      </c>
      <c r="AH695" s="304">
        <f t="shared" ca="1" si="318"/>
        <v>-1.9965803551767902</v>
      </c>
    </row>
    <row r="696" spans="1:34" x14ac:dyDescent="0.2">
      <c r="A696" s="347">
        <f t="shared" ca="1" si="296"/>
        <v>0.1</v>
      </c>
      <c r="B696" s="304">
        <f t="shared" ca="1" si="297"/>
        <v>37.200000000000188</v>
      </c>
      <c r="D696" s="306">
        <f t="shared" ca="1" si="298"/>
        <v>-0.50789835525397431</v>
      </c>
      <c r="E696" s="307">
        <f t="shared" ca="1" si="299"/>
        <v>-7.8421635584656038</v>
      </c>
      <c r="F696" s="304">
        <f t="shared" ca="1" si="300"/>
        <v>7.8585933866688631</v>
      </c>
      <c r="G696" s="306">
        <f t="shared" ca="1" si="301"/>
        <v>22.276856515076314</v>
      </c>
      <c r="H696" s="307">
        <f t="shared" ca="1" si="302"/>
        <v>-87.291990377748618</v>
      </c>
      <c r="I696" s="304">
        <f t="shared" ca="1" si="303"/>
        <v>90.089677101775962</v>
      </c>
      <c r="J696" s="306">
        <f t="shared" ca="1" si="304"/>
        <v>1063.2461226725013</v>
      </c>
      <c r="K696" s="307">
        <f t="shared" ca="1" si="305"/>
        <v>3388.3015821797767</v>
      </c>
      <c r="L696" s="304">
        <f t="shared" ca="1" si="290"/>
        <v>3551.208235119434</v>
      </c>
      <c r="M696" s="306">
        <f t="shared" ca="1" si="306"/>
        <v>-1.3209302049146059</v>
      </c>
      <c r="N696" s="304">
        <f t="shared" ca="1" si="307"/>
        <v>-75.683725772957914</v>
      </c>
      <c r="P696" s="310">
        <f t="shared" ca="1" si="308"/>
        <v>23</v>
      </c>
      <c r="Q696" s="304">
        <f t="shared" ca="1" si="309"/>
        <v>0</v>
      </c>
      <c r="R696" s="306">
        <f t="shared" ca="1" si="310"/>
        <v>0</v>
      </c>
      <c r="S696" s="307">
        <f t="shared" ca="1" si="311"/>
        <v>5.6519999999999806</v>
      </c>
      <c r="T696" s="304">
        <f t="shared" ca="1" si="291"/>
        <v>55.446119999999816</v>
      </c>
      <c r="U696" s="311">
        <f t="shared" ca="1" si="292"/>
        <v>0</v>
      </c>
      <c r="V696" s="306">
        <f t="shared" ca="1" si="293"/>
        <v>0.8700644846026151</v>
      </c>
      <c r="W696" s="304">
        <f t="shared" ca="1" si="294"/>
        <v>11.690028394070682</v>
      </c>
      <c r="Y696" s="314" t="str">
        <f t="shared" ca="1" si="312"/>
        <v/>
      </c>
      <c r="Z696" s="315" t="str">
        <f t="shared" ca="1" si="313"/>
        <v/>
      </c>
      <c r="AA696" s="316" t="str">
        <f t="shared" ca="1" si="314"/>
        <v/>
      </c>
      <c r="AC696" s="310" t="e">
        <f t="shared" ca="1" si="315"/>
        <v>#N/A</v>
      </c>
      <c r="AD696" s="323" t="e">
        <f t="shared" ca="1" si="316"/>
        <v>#N/A</v>
      </c>
      <c r="AE696" s="324" t="e">
        <f t="shared" ca="1" si="295"/>
        <v>#N/A</v>
      </c>
      <c r="AG696" s="306">
        <f t="shared" ca="1" si="317"/>
        <v>7.466395220261127</v>
      </c>
      <c r="AH696" s="304">
        <f t="shared" ca="1" si="318"/>
        <v>-2.032324039099191</v>
      </c>
    </row>
    <row r="697" spans="1:34" x14ac:dyDescent="0.2">
      <c r="A697" s="347">
        <f t="shared" ca="1" si="296"/>
        <v>0.1</v>
      </c>
      <c r="B697" s="304">
        <f t="shared" ca="1" si="297"/>
        <v>37.300000000000189</v>
      </c>
      <c r="D697" s="306">
        <f t="shared" ca="1" si="298"/>
        <v>-0.51143717212122486</v>
      </c>
      <c r="E697" s="307">
        <f t="shared" ca="1" si="299"/>
        <v>-7.8059304995561245</v>
      </c>
      <c r="F697" s="304">
        <f t="shared" ca="1" si="300"/>
        <v>7.822666996934478</v>
      </c>
      <c r="G697" s="306">
        <f t="shared" ca="1" si="301"/>
        <v>22.22571279786419</v>
      </c>
      <c r="H697" s="307">
        <f t="shared" ca="1" si="302"/>
        <v>-88.072583427704231</v>
      </c>
      <c r="I697" s="304">
        <f t="shared" ca="1" si="303"/>
        <v>90.833706634723796</v>
      </c>
      <c r="J697" s="306">
        <f t="shared" ca="1" si="304"/>
        <v>1065.4712511381483</v>
      </c>
      <c r="K697" s="307">
        <f t="shared" ca="1" si="305"/>
        <v>3379.533353489504</v>
      </c>
      <c r="L697" s="304">
        <f t="shared" ca="1" si="290"/>
        <v>3543.5116303393024</v>
      </c>
      <c r="M697" s="306">
        <f t="shared" ca="1" si="306"/>
        <v>-1.3236007589150081</v>
      </c>
      <c r="N697" s="304">
        <f t="shared" ca="1" si="307"/>
        <v>-75.836737246142732</v>
      </c>
      <c r="P697" s="310">
        <f t="shared" ca="1" si="308"/>
        <v>23</v>
      </c>
      <c r="Q697" s="304">
        <f t="shared" ca="1" si="309"/>
        <v>0</v>
      </c>
      <c r="R697" s="306">
        <f t="shared" ca="1" si="310"/>
        <v>0</v>
      </c>
      <c r="S697" s="307">
        <f t="shared" ca="1" si="311"/>
        <v>5.6519999999999806</v>
      </c>
      <c r="T697" s="304">
        <f t="shared" ca="1" si="291"/>
        <v>55.446119999999816</v>
      </c>
      <c r="U697" s="311">
        <f t="shared" ca="1" si="292"/>
        <v>0</v>
      </c>
      <c r="V697" s="306">
        <f t="shared" ca="1" si="293"/>
        <v>0.87085021476429614</v>
      </c>
      <c r="W697" s="304">
        <f t="shared" ca="1" si="294"/>
        <v>11.894648170978281</v>
      </c>
      <c r="Y697" s="314" t="str">
        <f t="shared" ca="1" si="312"/>
        <v/>
      </c>
      <c r="Z697" s="315" t="str">
        <f t="shared" ca="1" si="313"/>
        <v/>
      </c>
      <c r="AA697" s="316" t="str">
        <f t="shared" ca="1" si="314"/>
        <v/>
      </c>
      <c r="AC697" s="310" t="e">
        <f t="shared" ca="1" si="315"/>
        <v>#N/A</v>
      </c>
      <c r="AD697" s="323" t="e">
        <f t="shared" ca="1" si="316"/>
        <v>#N/A</v>
      </c>
      <c r="AE697" s="324" t="e">
        <f t="shared" ca="1" si="295"/>
        <v>#N/A</v>
      </c>
      <c r="AG697" s="306">
        <f t="shared" ca="1" si="317"/>
        <v>7.4370562656129096</v>
      </c>
      <c r="AH697" s="304">
        <f t="shared" ca="1" si="318"/>
        <v>-2.0682994327796749</v>
      </c>
    </row>
    <row r="698" spans="1:34" x14ac:dyDescent="0.2">
      <c r="A698" s="347">
        <f t="shared" ca="1" si="296"/>
        <v>0.1</v>
      </c>
      <c r="B698" s="304">
        <f t="shared" ca="1" si="297"/>
        <v>37.40000000000019</v>
      </c>
      <c r="D698" s="306">
        <f t="shared" ca="1" si="298"/>
        <v>-0.51494175500978712</v>
      </c>
      <c r="E698" s="307">
        <f t="shared" ca="1" si="299"/>
        <v>-7.769469237681049</v>
      </c>
      <c r="F698" s="304">
        <f t="shared" ca="1" si="300"/>
        <v>7.786515089969626</v>
      </c>
      <c r="G698" s="306">
        <f t="shared" ca="1" si="301"/>
        <v>22.174218622363213</v>
      </c>
      <c r="H698" s="307">
        <f t="shared" ca="1" si="302"/>
        <v>-88.849530351472339</v>
      </c>
      <c r="I698" s="304">
        <f t="shared" ca="1" si="303"/>
        <v>91.574750969847386</v>
      </c>
      <c r="J698" s="306">
        <f t="shared" ca="1" si="304"/>
        <v>1067.6912477091596</v>
      </c>
      <c r="K698" s="307">
        <f t="shared" ca="1" si="305"/>
        <v>3370.6872478005453</v>
      </c>
      <c r="L698" s="304">
        <f t="shared" ca="1" si="290"/>
        <v>3535.7456247473401</v>
      </c>
      <c r="M698" s="306">
        <f t="shared" ca="1" si="306"/>
        <v>-1.3262219725580588</v>
      </c>
      <c r="N698" s="304">
        <f t="shared" ca="1" si="307"/>
        <v>-75.986921725091648</v>
      </c>
      <c r="P698" s="310">
        <f t="shared" ca="1" si="308"/>
        <v>23</v>
      </c>
      <c r="Q698" s="304">
        <f t="shared" ca="1" si="309"/>
        <v>0</v>
      </c>
      <c r="R698" s="306">
        <f t="shared" ca="1" si="310"/>
        <v>0</v>
      </c>
      <c r="S698" s="307">
        <f t="shared" ca="1" si="311"/>
        <v>5.6519999999999806</v>
      </c>
      <c r="T698" s="304">
        <f t="shared" ca="1" si="291"/>
        <v>55.446119999999816</v>
      </c>
      <c r="U698" s="311">
        <f t="shared" ca="1" si="292"/>
        <v>0</v>
      </c>
      <c r="V698" s="306">
        <f t="shared" ca="1" si="293"/>
        <v>0.87164352102488862</v>
      </c>
      <c r="W698" s="304">
        <f t="shared" ca="1" si="294"/>
        <v>12.100531956204758</v>
      </c>
      <c r="Y698" s="314" t="str">
        <f t="shared" ca="1" si="312"/>
        <v/>
      </c>
      <c r="Z698" s="315" t="str">
        <f t="shared" ca="1" si="313"/>
        <v/>
      </c>
      <c r="AA698" s="316" t="str">
        <f t="shared" ca="1" si="314"/>
        <v/>
      </c>
      <c r="AC698" s="310" t="e">
        <f t="shared" ca="1" si="315"/>
        <v>#N/A</v>
      </c>
      <c r="AD698" s="323" t="e">
        <f t="shared" ca="1" si="316"/>
        <v>#N/A</v>
      </c>
      <c r="AE698" s="324" t="e">
        <f t="shared" ca="1" si="295"/>
        <v>#N/A</v>
      </c>
      <c r="AG698" s="306">
        <f t="shared" ca="1" si="317"/>
        <v>7.4072974119164785</v>
      </c>
      <c r="AH698" s="304">
        <f t="shared" ca="1" si="318"/>
        <v>-2.1045025072502339</v>
      </c>
    </row>
    <row r="699" spans="1:34" x14ac:dyDescent="0.2">
      <c r="A699" s="347">
        <f t="shared" ca="1" si="296"/>
        <v>0.1</v>
      </c>
      <c r="B699" s="304">
        <f t="shared" ca="1" si="297"/>
        <v>37.500000000000192</v>
      </c>
      <c r="D699" s="306">
        <f t="shared" ca="1" si="298"/>
        <v>-0.51841181215562937</v>
      </c>
      <c r="E699" s="307">
        <f t="shared" ca="1" si="299"/>
        <v>-7.7327838047817323</v>
      </c>
      <c r="F699" s="304">
        <f t="shared" ca="1" si="300"/>
        <v>7.7501416876388216</v>
      </c>
      <c r="G699" s="306">
        <f t="shared" ca="1" si="301"/>
        <v>22.122377441147652</v>
      </c>
      <c r="H699" s="307">
        <f t="shared" ca="1" si="302"/>
        <v>-89.622808731950514</v>
      </c>
      <c r="I699" s="304">
        <f t="shared" ca="1" si="303"/>
        <v>92.312769586078304</v>
      </c>
      <c r="J699" s="306">
        <f t="shared" ca="1" si="304"/>
        <v>1069.9060775123351</v>
      </c>
      <c r="K699" s="307">
        <f t="shared" ca="1" si="305"/>
        <v>3361.7636308463743</v>
      </c>
      <c r="L699" s="304">
        <f t="shared" ca="1" si="290"/>
        <v>3527.910674092986</v>
      </c>
      <c r="M699" s="306">
        <f t="shared" ca="1" si="306"/>
        <v>-1.3287952125032008</v>
      </c>
      <c r="N699" s="304">
        <f t="shared" ca="1" si="307"/>
        <v>-76.13435751362276</v>
      </c>
      <c r="P699" s="310">
        <f t="shared" ca="1" si="308"/>
        <v>23</v>
      </c>
      <c r="Q699" s="304">
        <f t="shared" ca="1" si="309"/>
        <v>0</v>
      </c>
      <c r="R699" s="306">
        <f t="shared" ca="1" si="310"/>
        <v>0</v>
      </c>
      <c r="S699" s="307">
        <f t="shared" ca="1" si="311"/>
        <v>5.6519999999999806</v>
      </c>
      <c r="T699" s="304">
        <f t="shared" ca="1" si="291"/>
        <v>55.446119999999816</v>
      </c>
      <c r="U699" s="311">
        <f t="shared" ca="1" si="292"/>
        <v>0</v>
      </c>
      <c r="V699" s="306">
        <f t="shared" ca="1" si="293"/>
        <v>0.87244438708820116</v>
      </c>
      <c r="W699" s="304">
        <f t="shared" ca="1" si="294"/>
        <v>12.307656838793436</v>
      </c>
      <c r="Y699" s="314" t="str">
        <f t="shared" ca="1" si="312"/>
        <v/>
      </c>
      <c r="Z699" s="315" t="str">
        <f t="shared" ca="1" si="313"/>
        <v/>
      </c>
      <c r="AA699" s="316" t="str">
        <f t="shared" ca="1" si="314"/>
        <v/>
      </c>
      <c r="AC699" s="310" t="e">
        <f t="shared" ca="1" si="315"/>
        <v>#N/A</v>
      </c>
      <c r="AD699" s="323" t="e">
        <f t="shared" ca="1" si="316"/>
        <v>#N/A</v>
      </c>
      <c r="AE699" s="324" t="e">
        <f t="shared" ca="1" si="295"/>
        <v>#N/A</v>
      </c>
      <c r="AG699" s="306">
        <f t="shared" ca="1" si="317"/>
        <v>7.3771298895217718</v>
      </c>
      <c r="AH699" s="304">
        <f t="shared" ca="1" si="318"/>
        <v>-2.1409292208430291</v>
      </c>
    </row>
    <row r="700" spans="1:34" x14ac:dyDescent="0.2">
      <c r="A700" s="347">
        <f t="shared" ca="1" si="296"/>
        <v>0.1</v>
      </c>
      <c r="B700" s="304">
        <f t="shared" ca="1" si="297"/>
        <v>37.600000000000193</v>
      </c>
      <c r="D700" s="306">
        <f t="shared" ca="1" si="298"/>
        <v>-0.52184706162627648</v>
      </c>
      <c r="E700" s="307">
        <f t="shared" ca="1" si="299"/>
        <v>-7.6958782463194479</v>
      </c>
      <c r="F700" s="304">
        <f t="shared" ca="1" si="300"/>
        <v>7.7135508255213363</v>
      </c>
      <c r="G700" s="306">
        <f t="shared" ca="1" si="301"/>
        <v>22.070192734985024</v>
      </c>
      <c r="H700" s="307">
        <f t="shared" ca="1" si="302"/>
        <v>-90.392396556582455</v>
      </c>
      <c r="I700" s="304">
        <f t="shared" ca="1" si="303"/>
        <v>93.047723038244442</v>
      </c>
      <c r="J700" s="306">
        <f t="shared" ca="1" si="304"/>
        <v>1072.1157060211417</v>
      </c>
      <c r="K700" s="307">
        <f t="shared" ca="1" si="305"/>
        <v>3352.7628705819475</v>
      </c>
      <c r="L700" s="304">
        <f t="shared" ca="1" si="290"/>
        <v>3520.0072376985408</v>
      </c>
      <c r="M700" s="306">
        <f t="shared" ca="1" si="306"/>
        <v>-1.3313217964721973</v>
      </c>
      <c r="N700" s="304">
        <f t="shared" ca="1" si="307"/>
        <v>-76.27912011163167</v>
      </c>
      <c r="P700" s="310">
        <f t="shared" ca="1" si="308"/>
        <v>23</v>
      </c>
      <c r="Q700" s="304">
        <f t="shared" ca="1" si="309"/>
        <v>0</v>
      </c>
      <c r="R700" s="306">
        <f t="shared" ca="1" si="310"/>
        <v>0</v>
      </c>
      <c r="S700" s="307">
        <f t="shared" ca="1" si="311"/>
        <v>5.6519999999999806</v>
      </c>
      <c r="T700" s="304">
        <f t="shared" ca="1" si="291"/>
        <v>55.446119999999816</v>
      </c>
      <c r="U700" s="311">
        <f t="shared" ca="1" si="292"/>
        <v>0</v>
      </c>
      <c r="V700" s="306">
        <f t="shared" ca="1" si="293"/>
        <v>0.87325279653425991</v>
      </c>
      <c r="W700" s="304">
        <f t="shared" ca="1" si="294"/>
        <v>12.51599984466929</v>
      </c>
      <c r="Y700" s="314" t="str">
        <f t="shared" ca="1" si="312"/>
        <v/>
      </c>
      <c r="Z700" s="315" t="str">
        <f t="shared" ca="1" si="313"/>
        <v/>
      </c>
      <c r="AA700" s="316" t="str">
        <f t="shared" ca="1" si="314"/>
        <v/>
      </c>
      <c r="AC700" s="310" t="e">
        <f t="shared" ca="1" si="315"/>
        <v>#N/A</v>
      </c>
      <c r="AD700" s="323" t="e">
        <f t="shared" ca="1" si="316"/>
        <v>#N/A</v>
      </c>
      <c r="AE700" s="324" t="e">
        <f t="shared" ca="1" si="295"/>
        <v>#N/A</v>
      </c>
      <c r="AG700" s="306">
        <f t="shared" ca="1" si="317"/>
        <v>7.3465646136641638</v>
      </c>
      <c r="AH700" s="304">
        <f t="shared" ca="1" si="318"/>
        <v>-2.1775755199563833</v>
      </c>
    </row>
    <row r="701" spans="1:34" x14ac:dyDescent="0.2">
      <c r="A701" s="347">
        <f t="shared" ca="1" si="296"/>
        <v>0.1</v>
      </c>
      <c r="B701" s="304">
        <f t="shared" ca="1" si="297"/>
        <v>37.700000000000195</v>
      </c>
      <c r="D701" s="306">
        <f t="shared" ca="1" si="298"/>
        <v>-0.52524723113657801</v>
      </c>
      <c r="E701" s="307">
        <f t="shared" ca="1" si="299"/>
        <v>-7.6587566204221158</v>
      </c>
      <c r="F701" s="304">
        <f t="shared" ca="1" si="300"/>
        <v>7.6767465520672378</v>
      </c>
      <c r="G701" s="306">
        <f t="shared" ca="1" si="301"/>
        <v>22.017668011871368</v>
      </c>
      <c r="H701" s="307">
        <f t="shared" ca="1" si="302"/>
        <v>-91.15827221862466</v>
      </c>
      <c r="I701" s="304">
        <f t="shared" ca="1" si="303"/>
        <v>93.779572928041532</v>
      </c>
      <c r="J701" s="306">
        <f t="shared" ca="1" si="304"/>
        <v>1074.3200990584846</v>
      </c>
      <c r="K701" s="307">
        <f t="shared" ca="1" si="305"/>
        <v>3343.6853371431871</v>
      </c>
      <c r="L701" s="304">
        <f t="shared" ca="1" si="290"/>
        <v>3512.03577844352</v>
      </c>
      <c r="M701" s="306">
        <f t="shared" ca="1" si="306"/>
        <v>-1.3338029953617925</v>
      </c>
      <c r="N701" s="304">
        <f t="shared" ca="1" si="307"/>
        <v>-76.42128233613802</v>
      </c>
      <c r="P701" s="310">
        <f t="shared" ca="1" si="308"/>
        <v>23</v>
      </c>
      <c r="Q701" s="304">
        <f t="shared" ca="1" si="309"/>
        <v>0</v>
      </c>
      <c r="R701" s="306">
        <f t="shared" ca="1" si="310"/>
        <v>0</v>
      </c>
      <c r="S701" s="307">
        <f t="shared" ca="1" si="311"/>
        <v>5.6519999999999806</v>
      </c>
      <c r="T701" s="304">
        <f t="shared" ca="1" si="291"/>
        <v>55.446119999999816</v>
      </c>
      <c r="U701" s="311">
        <f t="shared" ca="1" si="292"/>
        <v>0</v>
      </c>
      <c r="V701" s="306">
        <f t="shared" ca="1" si="293"/>
        <v>0.87406873282060138</v>
      </c>
      <c r="W701" s="304">
        <f t="shared" ca="1" si="294"/>
        <v>12.725537940971567</v>
      </c>
      <c r="Y701" s="314" t="str">
        <f t="shared" ca="1" si="312"/>
        <v/>
      </c>
      <c r="Z701" s="315" t="str">
        <f t="shared" ca="1" si="313"/>
        <v/>
      </c>
      <c r="AA701" s="316" t="str">
        <f t="shared" ca="1" si="314"/>
        <v/>
      </c>
      <c r="AC701" s="310" t="e">
        <f t="shared" ca="1" si="315"/>
        <v>#N/A</v>
      </c>
      <c r="AD701" s="323" t="e">
        <f t="shared" ca="1" si="316"/>
        <v>#N/A</v>
      </c>
      <c r="AE701" s="324" t="e">
        <f t="shared" ca="1" si="295"/>
        <v>#N/A</v>
      </c>
      <c r="AG701" s="306">
        <f t="shared" ca="1" si="317"/>
        <v>7.315612201053689</v>
      </c>
      <c r="AH701" s="304">
        <f t="shared" ca="1" si="318"/>
        <v>-2.2144373398211843</v>
      </c>
    </row>
    <row r="702" spans="1:34" x14ac:dyDescent="0.2">
      <c r="A702" s="347">
        <f t="shared" ca="1" si="296"/>
        <v>0.1</v>
      </c>
      <c r="B702" s="304">
        <f t="shared" ca="1" si="297"/>
        <v>37.800000000000196</v>
      </c>
      <c r="D702" s="306">
        <f t="shared" ca="1" si="298"/>
        <v>-0.52861205787345966</v>
      </c>
      <c r="E702" s="307">
        <f t="shared" ca="1" si="299"/>
        <v>-7.6214229970360723</v>
      </c>
      <c r="F702" s="304">
        <f t="shared" ca="1" si="300"/>
        <v>7.6397329277586348</v>
      </c>
      <c r="G702" s="306">
        <f t="shared" ca="1" si="301"/>
        <v>21.964806806084024</v>
      </c>
      <c r="H702" s="307">
        <f t="shared" ca="1" si="302"/>
        <v>-91.920414518328272</v>
      </c>
      <c r="I702" s="304">
        <f t="shared" ca="1" si="303"/>
        <v>94.508281876510111</v>
      </c>
      <c r="J702" s="306">
        <f t="shared" ca="1" si="304"/>
        <v>1076.5192227993823</v>
      </c>
      <c r="K702" s="307">
        <f t="shared" ca="1" si="305"/>
        <v>3334.5314028063394</v>
      </c>
      <c r="L702" s="304">
        <f t="shared" ca="1" si="290"/>
        <v>3503.9967627493893</v>
      </c>
      <c r="M702" s="306">
        <f t="shared" ca="1" si="306"/>
        <v>-1.3362400352510473</v>
      </c>
      <c r="N702" s="304">
        <f t="shared" ca="1" si="307"/>
        <v>-76.560914436297352</v>
      </c>
      <c r="P702" s="310">
        <f t="shared" ca="1" si="308"/>
        <v>23</v>
      </c>
      <c r="Q702" s="304">
        <f t="shared" ca="1" si="309"/>
        <v>0</v>
      </c>
      <c r="R702" s="306">
        <f t="shared" ca="1" si="310"/>
        <v>0</v>
      </c>
      <c r="S702" s="307">
        <f t="shared" ca="1" si="311"/>
        <v>5.6519999999999806</v>
      </c>
      <c r="T702" s="304">
        <f t="shared" ca="1" si="291"/>
        <v>55.446119999999816</v>
      </c>
      <c r="U702" s="311">
        <f t="shared" ca="1" si="292"/>
        <v>0</v>
      </c>
      <c r="V702" s="306">
        <f t="shared" ca="1" si="293"/>
        <v>0.8748921792835741</v>
      </c>
      <c r="W702" s="304">
        <f t="shared" ca="1" si="294"/>
        <v>12.936248040386079</v>
      </c>
      <c r="Y702" s="314" t="str">
        <f t="shared" ca="1" si="312"/>
        <v/>
      </c>
      <c r="Z702" s="315" t="str">
        <f t="shared" ca="1" si="313"/>
        <v/>
      </c>
      <c r="AA702" s="316" t="str">
        <f t="shared" ca="1" si="314"/>
        <v/>
      </c>
      <c r="AC702" s="310" t="e">
        <f t="shared" ca="1" si="315"/>
        <v>#N/A</v>
      </c>
      <c r="AD702" s="323" t="e">
        <f t="shared" ca="1" si="316"/>
        <v>#N/A</v>
      </c>
      <c r="AE702" s="324" t="e">
        <f t="shared" ca="1" si="295"/>
        <v>#N/A</v>
      </c>
      <c r="AG702" s="306">
        <f t="shared" ca="1" si="317"/>
        <v>7.2842829854208926</v>
      </c>
      <c r="AH702" s="304">
        <f t="shared" ca="1" si="318"/>
        <v>-2.251510605267447</v>
      </c>
    </row>
    <row r="703" spans="1:34" x14ac:dyDescent="0.2">
      <c r="A703" s="347">
        <f t="shared" ca="1" si="296"/>
        <v>0.1</v>
      </c>
      <c r="B703" s="304">
        <f t="shared" ca="1" si="297"/>
        <v>37.900000000000198</v>
      </c>
      <c r="D703" s="306">
        <f t="shared" ca="1" si="298"/>
        <v>-0.53194128832904175</v>
      </c>
      <c r="E703" s="307">
        <f t="shared" ca="1" si="299"/>
        <v>-7.5838814570827306</v>
      </c>
      <c r="F703" s="304">
        <f t="shared" ca="1" si="300"/>
        <v>7.6025140242759459</v>
      </c>
      <c r="G703" s="306">
        <f t="shared" ca="1" si="301"/>
        <v>21.911612677251121</v>
      </c>
      <c r="H703" s="307">
        <f t="shared" ca="1" si="302"/>
        <v>-92.678802664036539</v>
      </c>
      <c r="I703" s="304">
        <f t="shared" ca="1" si="303"/>
        <v>95.233813497923606</v>
      </c>
      <c r="J703" s="306">
        <f t="shared" ca="1" si="304"/>
        <v>1078.7130437735491</v>
      </c>
      <c r="K703" s="307">
        <f t="shared" ca="1" si="305"/>
        <v>3325.3014419472211</v>
      </c>
      <c r="L703" s="304">
        <f t="shared" ca="1" si="290"/>
        <v>3495.8906605646953</v>
      </c>
      <c r="M703" s="306">
        <f t="shared" ca="1" si="306"/>
        <v>-1.3386340993092172</v>
      </c>
      <c r="N703" s="304">
        <f t="shared" ca="1" si="307"/>
        <v>-76.698084202714455</v>
      </c>
      <c r="P703" s="310">
        <f t="shared" ca="1" si="308"/>
        <v>23</v>
      </c>
      <c r="Q703" s="304">
        <f t="shared" ca="1" si="309"/>
        <v>0</v>
      </c>
      <c r="R703" s="306">
        <f t="shared" ca="1" si="310"/>
        <v>0</v>
      </c>
      <c r="S703" s="307">
        <f t="shared" ca="1" si="311"/>
        <v>5.6519999999999806</v>
      </c>
      <c r="T703" s="304">
        <f t="shared" ca="1" si="291"/>
        <v>55.446119999999816</v>
      </c>
      <c r="U703" s="311">
        <f t="shared" ca="1" si="292"/>
        <v>0</v>
      </c>
      <c r="V703" s="306">
        <f t="shared" ca="1" si="293"/>
        <v>0.87572311913965262</v>
      </c>
      <c r="W703" s="304">
        <f t="shared" ca="1" si="294"/>
        <v>13.148107005475772</v>
      </c>
      <c r="Y703" s="314" t="str">
        <f t="shared" ca="1" si="312"/>
        <v/>
      </c>
      <c r="Z703" s="315" t="str">
        <f t="shared" ca="1" si="313"/>
        <v/>
      </c>
      <c r="AA703" s="316" t="str">
        <f t="shared" ca="1" si="314"/>
        <v/>
      </c>
      <c r="AC703" s="310" t="e">
        <f t="shared" ca="1" si="315"/>
        <v>#N/A</v>
      </c>
      <c r="AD703" s="323" t="e">
        <f t="shared" ca="1" si="316"/>
        <v>#N/A</v>
      </c>
      <c r="AE703" s="324" t="e">
        <f t="shared" ca="1" si="295"/>
        <v>#N/A</v>
      </c>
      <c r="AG703" s="306">
        <f t="shared" ca="1" si="317"/>
        <v>7.2525870320889165</v>
      </c>
      <c r="AH703" s="304">
        <f t="shared" ca="1" si="318"/>
        <v>-2.2887912314908214</v>
      </c>
    </row>
    <row r="704" spans="1:34" x14ac:dyDescent="0.2">
      <c r="A704" s="347">
        <f t="shared" ca="1" si="296"/>
        <v>0.1</v>
      </c>
      <c r="B704" s="304">
        <f t="shared" ca="1" si="297"/>
        <v>38.000000000000199</v>
      </c>
      <c r="D704" s="306">
        <f t="shared" ca="1" si="298"/>
        <v>-0.53523467814154868</v>
      </c>
      <c r="E704" s="307">
        <f t="shared" ca="1" si="299"/>
        <v>-7.5461360916200366</v>
      </c>
      <c r="F704" s="304">
        <f t="shared" ca="1" si="300"/>
        <v>7.5650939236691439</v>
      </c>
      <c r="G704" s="306">
        <f t="shared" ca="1" si="301"/>
        <v>21.858089209436965</v>
      </c>
      <c r="H704" s="307">
        <f t="shared" ca="1" si="302"/>
        <v>-93.433416273198546</v>
      </c>
      <c r="I704" s="304">
        <f t="shared" ca="1" si="303"/>
        <v>95.956132374999925</v>
      </c>
      <c r="J704" s="306">
        <f t="shared" ca="1" si="304"/>
        <v>1080.9015288678836</v>
      </c>
      <c r="K704" s="307">
        <f t="shared" ca="1" si="305"/>
        <v>3315.9958310003594</v>
      </c>
      <c r="L704" s="304">
        <f t="shared" ca="1" si="290"/>
        <v>3487.7179453506114</v>
      </c>
      <c r="M704" s="306">
        <f t="shared" ca="1" si="306"/>
        <v>-1.3409863296096856</v>
      </c>
      <c r="N704" s="304">
        <f t="shared" ca="1" si="307"/>
        <v>-76.832857071374079</v>
      </c>
      <c r="P704" s="310">
        <f t="shared" ca="1" si="308"/>
        <v>23</v>
      </c>
      <c r="Q704" s="304">
        <f t="shared" ca="1" si="309"/>
        <v>0</v>
      </c>
      <c r="R704" s="306">
        <f t="shared" ca="1" si="310"/>
        <v>0</v>
      </c>
      <c r="S704" s="307">
        <f t="shared" ca="1" si="311"/>
        <v>5.6519999999999806</v>
      </c>
      <c r="T704" s="304">
        <f t="shared" ca="1" si="291"/>
        <v>55.446119999999816</v>
      </c>
      <c r="U704" s="311">
        <f t="shared" ca="1" si="292"/>
        <v>0</v>
      </c>
      <c r="V704" s="306">
        <f t="shared" ca="1" si="293"/>
        <v>0.87656153548675952</v>
      </c>
      <c r="W704" s="304">
        <f t="shared" ca="1" si="294"/>
        <v>13.361091653008305</v>
      </c>
      <c r="Y704" s="314" t="str">
        <f t="shared" ca="1" si="312"/>
        <v/>
      </c>
      <c r="Z704" s="315" t="str">
        <f t="shared" ca="1" si="313"/>
        <v/>
      </c>
      <c r="AA704" s="316" t="str">
        <f t="shared" ca="1" si="314"/>
        <v/>
      </c>
      <c r="AC704" s="310">
        <f t="shared" ca="1" si="315"/>
        <v>38.000000000000199</v>
      </c>
      <c r="AD704" s="323">
        <f t="shared" ca="1" si="316"/>
        <v>1080.9015288678836</v>
      </c>
      <c r="AE704" s="324" t="e">
        <f t="shared" ca="1" si="295"/>
        <v>#N/A</v>
      </c>
      <c r="AG704" s="306">
        <f t="shared" ca="1" si="317"/>
        <v>7.2205341516365849</v>
      </c>
      <c r="AH704" s="304">
        <f t="shared" ca="1" si="318"/>
        <v>-2.3262751248187929</v>
      </c>
    </row>
    <row r="705" spans="1:34" x14ac:dyDescent="0.2">
      <c r="A705" s="347">
        <f t="shared" ca="1" si="296"/>
        <v>0.1</v>
      </c>
      <c r="B705" s="304">
        <f t="shared" ca="1" si="297"/>
        <v>38.1000000000002</v>
      </c>
      <c r="D705" s="306">
        <f t="shared" ca="1" si="298"/>
        <v>-0.53849199194346675</v>
      </c>
      <c r="E705" s="307">
        <f t="shared" ca="1" si="299"/>
        <v>-7.5081910010086457</v>
      </c>
      <c r="F705" s="304">
        <f t="shared" ca="1" si="300"/>
        <v>7.527476717533867</v>
      </c>
      <c r="G705" s="306">
        <f t="shared" ca="1" si="301"/>
        <v>21.804240010242619</v>
      </c>
      <c r="H705" s="307">
        <f t="shared" ca="1" si="302"/>
        <v>-94.184235373299416</v>
      </c>
      <c r="I705" s="304">
        <f t="shared" ca="1" si="303"/>
        <v>96.675204035354028</v>
      </c>
      <c r="J705" s="306">
        <f t="shared" ca="1" si="304"/>
        <v>1083.0846453288675</v>
      </c>
      <c r="K705" s="307">
        <f t="shared" ca="1" si="305"/>
        <v>3306.6149484180346</v>
      </c>
      <c r="L705" s="304">
        <f t="shared" ca="1" si="290"/>
        <v>3479.4790940669209</v>
      </c>
      <c r="M705" s="306">
        <f t="shared" ca="1" si="306"/>
        <v>-1.3432978288551258</v>
      </c>
      <c r="N705" s="304">
        <f t="shared" ca="1" si="307"/>
        <v>-76.965296222485478</v>
      </c>
      <c r="P705" s="310">
        <f t="shared" ca="1" si="308"/>
        <v>23</v>
      </c>
      <c r="Q705" s="304">
        <f t="shared" ca="1" si="309"/>
        <v>0</v>
      </c>
      <c r="R705" s="306">
        <f t="shared" ca="1" si="310"/>
        <v>0</v>
      </c>
      <c r="S705" s="307">
        <f t="shared" ca="1" si="311"/>
        <v>5.6519999999999806</v>
      </c>
      <c r="T705" s="304">
        <f t="shared" ca="1" si="291"/>
        <v>55.446119999999816</v>
      </c>
      <c r="U705" s="311">
        <f t="shared" ca="1" si="292"/>
        <v>0</v>
      </c>
      <c r="V705" s="306">
        <f t="shared" ca="1" si="293"/>
        <v>0.87740741130560174</v>
      </c>
      <c r="W705" s="304">
        <f t="shared" ca="1" si="294"/>
        <v>13.575178758279346</v>
      </c>
      <c r="Y705" s="314" t="str">
        <f t="shared" ca="1" si="312"/>
        <v/>
      </c>
      <c r="Z705" s="315" t="str">
        <f t="shared" ca="1" si="313"/>
        <v/>
      </c>
      <c r="AA705" s="316" t="str">
        <f t="shared" ca="1" si="314"/>
        <v/>
      </c>
      <c r="AC705" s="310" t="e">
        <f t="shared" ca="1" si="315"/>
        <v>#N/A</v>
      </c>
      <c r="AD705" s="323" t="e">
        <f t="shared" ca="1" si="316"/>
        <v>#N/A</v>
      </c>
      <c r="AE705" s="324" t="e">
        <f t="shared" ca="1" si="295"/>
        <v>#N/A</v>
      </c>
      <c r="AG705" s="306">
        <f t="shared" ca="1" si="317"/>
        <v>7.1881339127123933</v>
      </c>
      <c r="AH705" s="304">
        <f t="shared" ca="1" si="318"/>
        <v>-2.3639581834763539</v>
      </c>
    </row>
    <row r="706" spans="1:34" x14ac:dyDescent="0.2">
      <c r="A706" s="347">
        <f t="shared" ca="1" si="296"/>
        <v>0.1</v>
      </c>
      <c r="B706" s="304">
        <f t="shared" ca="1" si="297"/>
        <v>38.200000000000202</v>
      </c>
      <c r="D706" s="306">
        <f t="shared" ca="1" si="298"/>
        <v>-0.54171300321646521</v>
      </c>
      <c r="E706" s="307">
        <f t="shared" ca="1" si="299"/>
        <v>-7.4700502940827462</v>
      </c>
      <c r="F706" s="304">
        <f t="shared" ca="1" si="300"/>
        <v>7.48966650619235</v>
      </c>
      <c r="G706" s="306">
        <f t="shared" ca="1" si="301"/>
        <v>21.750068709920974</v>
      </c>
      <c r="H706" s="307">
        <f t="shared" ca="1" si="302"/>
        <v>-94.931240402707687</v>
      </c>
      <c r="I706" s="304">
        <f t="shared" ca="1" si="303"/>
        <v>97.390994929115308</v>
      </c>
      <c r="J706" s="306">
        <f t="shared" ca="1" si="304"/>
        <v>1085.2623607648757</v>
      </c>
      <c r="K706" s="307">
        <f t="shared" ca="1" si="305"/>
        <v>3297.1591746292343</v>
      </c>
      <c r="L706" s="304">
        <f t="shared" ca="1" si="290"/>
        <v>3471.1745871584571</v>
      </c>
      <c r="M706" s="306">
        <f t="shared" ca="1" si="306"/>
        <v>-1.3455696620187703</v>
      </c>
      <c r="N706" s="304">
        <f t="shared" ca="1" si="307"/>
        <v>-77.095462674520164</v>
      </c>
      <c r="P706" s="310">
        <f t="shared" ca="1" si="308"/>
        <v>23</v>
      </c>
      <c r="Q706" s="304">
        <f t="shared" ca="1" si="309"/>
        <v>0</v>
      </c>
      <c r="R706" s="306">
        <f t="shared" ca="1" si="310"/>
        <v>0</v>
      </c>
      <c r="S706" s="307">
        <f t="shared" ca="1" si="311"/>
        <v>5.6519999999999806</v>
      </c>
      <c r="T706" s="304">
        <f t="shared" ca="1" si="291"/>
        <v>55.446119999999816</v>
      </c>
      <c r="U706" s="311">
        <f t="shared" ca="1" si="292"/>
        <v>0</v>
      </c>
      <c r="V706" s="306">
        <f t="shared" ca="1" si="293"/>
        <v>0.87826072946101252</v>
      </c>
      <c r="W706" s="304">
        <f t="shared" ca="1" si="294"/>
        <v>13.790345059430262</v>
      </c>
      <c r="Y706" s="314" t="str">
        <f t="shared" ca="1" si="312"/>
        <v/>
      </c>
      <c r="Z706" s="315" t="str">
        <f t="shared" ca="1" si="313"/>
        <v/>
      </c>
      <c r="AA706" s="316" t="str">
        <f t="shared" ca="1" si="314"/>
        <v/>
      </c>
      <c r="AC706" s="310" t="e">
        <f t="shared" ca="1" si="315"/>
        <v>#N/A</v>
      </c>
      <c r="AD706" s="323" t="e">
        <f t="shared" ca="1" si="316"/>
        <v>#N/A</v>
      </c>
      <c r="AE706" s="324" t="e">
        <f t="shared" ca="1" si="295"/>
        <v>#N/A</v>
      </c>
      <c r="AG706" s="306">
        <f t="shared" ca="1" si="317"/>
        <v>7.1553956540552104</v>
      </c>
      <c r="AH706" s="304">
        <f t="shared" ca="1" si="318"/>
        <v>-2.4018362983509189</v>
      </c>
    </row>
    <row r="707" spans="1:34" x14ac:dyDescent="0.2">
      <c r="A707" s="347">
        <f t="shared" ca="1" si="296"/>
        <v>0.1</v>
      </c>
      <c r="B707" s="304">
        <f t="shared" ca="1" si="297"/>
        <v>38.300000000000203</v>
      </c>
      <c r="D707" s="306">
        <f t="shared" ca="1" si="298"/>
        <v>-0.54489749415258915</v>
      </c>
      <c r="E707" s="307">
        <f t="shared" ca="1" si="299"/>
        <v>-7.4317180873255104</v>
      </c>
      <c r="F707" s="304">
        <f t="shared" ca="1" si="300"/>
        <v>7.4516673978791426</v>
      </c>
      <c r="G707" s="306">
        <f t="shared" ca="1" si="301"/>
        <v>21.695578960505717</v>
      </c>
      <c r="H707" s="307">
        <f t="shared" ca="1" si="302"/>
        <v>-95.674412211440242</v>
      </c>
      <c r="I707" s="304">
        <f t="shared" ca="1" si="303"/>
        <v>98.103472407637653</v>
      </c>
      <c r="J707" s="306">
        <f t="shared" ca="1" si="304"/>
        <v>1087.4346431483971</v>
      </c>
      <c r="K707" s="307">
        <f t="shared" ca="1" si="305"/>
        <v>3287.6288919985268</v>
      </c>
      <c r="L707" s="304">
        <f t="shared" ca="1" si="290"/>
        <v>3462.8049085420253</v>
      </c>
      <c r="M707" s="306">
        <f t="shared" ca="1" si="306"/>
        <v>-1.3478028579063526</v>
      </c>
      <c r="N707" s="304">
        <f t="shared" ca="1" si="307"/>
        <v>-77.223415373704597</v>
      </c>
      <c r="P707" s="310">
        <f t="shared" ca="1" si="308"/>
        <v>23</v>
      </c>
      <c r="Q707" s="304">
        <f t="shared" ca="1" si="309"/>
        <v>0</v>
      </c>
      <c r="R707" s="306">
        <f t="shared" ca="1" si="310"/>
        <v>0</v>
      </c>
      <c r="S707" s="307">
        <f t="shared" ca="1" si="311"/>
        <v>5.6519999999999806</v>
      </c>
      <c r="T707" s="304">
        <f t="shared" ca="1" si="291"/>
        <v>55.446119999999816</v>
      </c>
      <c r="U707" s="311">
        <f t="shared" ca="1" si="292"/>
        <v>0</v>
      </c>
      <c r="V707" s="306">
        <f t="shared" ca="1" si="293"/>
        <v>0.87912147270330621</v>
      </c>
      <c r="W707" s="304">
        <f t="shared" ca="1" si="294"/>
        <v>14.006567261758944</v>
      </c>
      <c r="Y707" s="314" t="str">
        <f t="shared" ca="1" si="312"/>
        <v/>
      </c>
      <c r="Z707" s="315" t="str">
        <f t="shared" ca="1" si="313"/>
        <v/>
      </c>
      <c r="AA707" s="316" t="str">
        <f t="shared" ca="1" si="314"/>
        <v/>
      </c>
      <c r="AC707" s="310" t="e">
        <f t="shared" ca="1" si="315"/>
        <v>#N/A</v>
      </c>
      <c r="AD707" s="323" t="e">
        <f t="shared" ca="1" si="316"/>
        <v>#N/A</v>
      </c>
      <c r="AE707" s="324" t="e">
        <f t="shared" ca="1" si="295"/>
        <v>#N/A</v>
      </c>
      <c r="AG707" s="306">
        <f t="shared" ca="1" si="317"/>
        <v>7.1223284957734609</v>
      </c>
      <c r="AH707" s="304">
        <f t="shared" ca="1" si="318"/>
        <v>-2.4399053537562474</v>
      </c>
    </row>
    <row r="708" spans="1:34" x14ac:dyDescent="0.2">
      <c r="A708" s="347">
        <f t="shared" ca="1" si="296"/>
        <v>0.1</v>
      </c>
      <c r="B708" s="304">
        <f t="shared" ca="1" si="297"/>
        <v>38.400000000000205</v>
      </c>
      <c r="D708" s="306">
        <f t="shared" ca="1" si="298"/>
        <v>-0.54804525552131178</v>
      </c>
      <c r="E708" s="307">
        <f t="shared" ca="1" si="299"/>
        <v>-7.3931985040491481</v>
      </c>
      <c r="F708" s="304">
        <f t="shared" ca="1" si="300"/>
        <v>7.4134835079316108</v>
      </c>
      <c r="G708" s="306">
        <f t="shared" ca="1" si="301"/>
        <v>21.640774434953585</v>
      </c>
      <c r="H708" s="307">
        <f t="shared" ca="1" si="302"/>
        <v>-96.413732061845153</v>
      </c>
      <c r="I708" s="304">
        <f t="shared" ca="1" si="303"/>
        <v>98.812604703235152</v>
      </c>
      <c r="J708" s="306">
        <f t="shared" ca="1" si="304"/>
        <v>1089.6014608181699</v>
      </c>
      <c r="K708" s="307">
        <f t="shared" ca="1" si="305"/>
        <v>3278.0244847848626</v>
      </c>
      <c r="L708" s="304">
        <f t="shared" ref="L708:L771" ca="1" si="319">SQRT(pos_x^2+pos_z^2)</f>
        <v>3454.3705455938211</v>
      </c>
      <c r="M708" s="306">
        <f t="shared" ca="1" si="306"/>
        <v>-1.3499984106430365</v>
      </c>
      <c r="N708" s="304">
        <f t="shared" ca="1" si="307"/>
        <v>-77.349211279214984</v>
      </c>
      <c r="P708" s="310">
        <f t="shared" ca="1" si="308"/>
        <v>23</v>
      </c>
      <c r="Q708" s="304">
        <f t="shared" ca="1" si="309"/>
        <v>0</v>
      </c>
      <c r="R708" s="306">
        <f t="shared" ca="1" si="310"/>
        <v>0</v>
      </c>
      <c r="S708" s="307">
        <f t="shared" ca="1" si="311"/>
        <v>5.6519999999999806</v>
      </c>
      <c r="T708" s="304">
        <f t="shared" ref="T708:T771" ca="1" si="320">m*g</f>
        <v>55.446119999999816</v>
      </c>
      <c r="U708" s="311">
        <f t="shared" ref="U708:U771" ca="1" si="321">IF(pos_xz&lt;L_rampe,Poids*COS(Beta),0)</f>
        <v>0</v>
      </c>
      <c r="V708" s="306">
        <f t="shared" ref="V708:V771" ca="1" si="322">Rho_moyen*(20000-Alt_rampe-pos_z)/(20000+Alt_rampe+pos_z)</f>
        <v>0.87998962366964206</v>
      </c>
      <c r="W708" s="304">
        <f t="shared" ref="W708:W771" ca="1" si="323">1/2*Rho*Sref*Cx*vit_xz^2</f>
        <v>14.223822042022448</v>
      </c>
      <c r="Y708" s="314" t="str">
        <f t="shared" ca="1" si="312"/>
        <v/>
      </c>
      <c r="Z708" s="315" t="str">
        <f t="shared" ca="1" si="313"/>
        <v/>
      </c>
      <c r="AA708" s="316" t="str">
        <f t="shared" ca="1" si="314"/>
        <v/>
      </c>
      <c r="AC708" s="310" t="e">
        <f t="shared" ca="1" si="315"/>
        <v>#N/A</v>
      </c>
      <c r="AD708" s="323" t="e">
        <f t="shared" ca="1" si="316"/>
        <v>#N/A</v>
      </c>
      <c r="AE708" s="324" t="e">
        <f t="shared" ref="AE708:AE771" ca="1" si="324">IF(t&lt;T_para, pos_z, NA())</f>
        <v>#N/A</v>
      </c>
      <c r="AG708" s="306">
        <f t="shared" ca="1" si="317"/>
        <v>7.0889413499309066</v>
      </c>
      <c r="AH708" s="304">
        <f t="shared" ca="1" si="318"/>
        <v>-2.4781612281951508</v>
      </c>
    </row>
    <row r="709" spans="1:34" x14ac:dyDescent="0.2">
      <c r="A709" s="347">
        <f t="shared" ref="A709:A772" ca="1" si="325">IF(B708+0.01&lt;=T_ini+ROUNDUP(Temps_fin_propu,0), 0.01, IF(K708&gt;0, 0.1, 0.0001))</f>
        <v>0.1</v>
      </c>
      <c r="B709" s="304">
        <f t="shared" ref="B709:B772" ca="1" si="326">B708+pas</f>
        <v>38.500000000000206</v>
      </c>
      <c r="D709" s="306">
        <f t="shared" ref="D709:D772" ca="1" si="327">IF(AND(L708&lt;L_rampe,Poussee&lt;Poids*SIN(M708)),0,(-W708+Poussee)/m*COS(M708)-U708/m*SIN(M708))</f>
        <v>-0.55115608654201953</v>
      </c>
      <c r="E709" s="307">
        <f t="shared" ref="E709:E772" ca="1" si="328">IF(AND(L708&lt;L_rampe,Poussee&lt;Poids*SIN(M708)),0,(-W708+Poussee)/m*SIN(M708)+U708/m*COS(M708)-Poids/m)</f>
        <v>-7.3544956735795601</v>
      </c>
      <c r="F709" s="304">
        <f t="shared" ref="F709:F772" ca="1" si="329">SQRT(acc_x^2+acc_z^2)</f>
        <v>7.3751189579852054</v>
      </c>
      <c r="G709" s="306">
        <f t="shared" ref="G709:G772" ca="1" si="330">G708+acc_x*pas</f>
        <v>21.585658826299383</v>
      </c>
      <c r="H709" s="307">
        <f t="shared" ref="H709:H772" ca="1" si="331">H708+acc_z*pas</f>
        <v>-97.149181629203113</v>
      </c>
      <c r="I709" s="304">
        <f t="shared" ref="I709:I772" ca="1" si="332">SQRT(vit_x^2+vit_z^2)</f>
        <v>99.518360909880812</v>
      </c>
      <c r="J709" s="306">
        <f t="shared" ref="J709:J772" ca="1" si="333">J708+0.5*(vit_x+G708)*pas*(K708&gt;=0)</f>
        <v>1091.7627824812325</v>
      </c>
      <c r="K709" s="307">
        <f t="shared" ref="K709:K772" ca="1" si="334">K708+0.5*(vit_z+H708)*pas</f>
        <v>3268.3463391003102</v>
      </c>
      <c r="L709" s="304">
        <f t="shared" ca="1" si="319"/>
        <v>3445.8719891373739</v>
      </c>
      <c r="M709" s="306">
        <f t="shared" ref="M709:M772" ca="1" si="335">IF(AND(L708&gt;L_rampe,G709&gt;0),ATAN2(G709,H709),$M$4)</f>
        <v>-1.3521572810893765</v>
      </c>
      <c r="N709" s="304">
        <f t="shared" ref="N709:N772" ca="1" si="336">DEGREES(Beta)</f>
        <v>-77.472905444305795</v>
      </c>
      <c r="P709" s="310">
        <f t="shared" ref="P709:P772" ca="1" si="337">MATCH(t-pas/2-T_ini,CdP_t)</f>
        <v>23</v>
      </c>
      <c r="Q709" s="304">
        <f t="shared" ref="Q709:Q772" ca="1" si="338">(INDEX(CdP,2,i_P+1)-INDEX(CdP,2,i_P+0))/(INDEX(CdP,1,i_P+1)-INDEX(CdP,1,i_P+0))*(t-pas/2-T_ini-INDEX(CdP,1,i_P+0))+INDEX(CdP,2,i_P+0)</f>
        <v>0</v>
      </c>
      <c r="R709" s="306">
        <f t="shared" ref="R709:R772" ca="1" si="339">Poussee/(g*ISP)</f>
        <v>0</v>
      </c>
      <c r="S709" s="307">
        <f t="shared" ref="S709:S772" ca="1" si="340">S708-Débit*pas</f>
        <v>5.6519999999999806</v>
      </c>
      <c r="T709" s="304">
        <f t="shared" ca="1" si="320"/>
        <v>55.446119999999816</v>
      </c>
      <c r="U709" s="311">
        <f t="shared" ca="1" si="321"/>
        <v>0</v>
      </c>
      <c r="V709" s="306">
        <f t="shared" ca="1" si="322"/>
        <v>0.88086516488539712</v>
      </c>
      <c r="W709" s="304">
        <f t="shared" ca="1" si="323"/>
        <v>14.442086052730213</v>
      </c>
      <c r="Y709" s="314" t="str">
        <f t="shared" ref="Y709:Y772" ca="1" si="341">IF(AND(pos_z&lt;=0,K708&gt;0),"Impact balistique","") &amp; IF(AND(H710&lt;0,vit_z&gt;=0),"Apogée","") &amp; IF(AND(Poussee=0,Q708&gt;0),"Fin de propulsion","") &amp; IF(AND(L710&gt;L_rampe,pos_xz&lt;=L_rampe),"Sortie de rampe","")</f>
        <v/>
      </c>
      <c r="Z709" s="315" t="str">
        <f t="shared" ref="Z709:Z772" ca="1" si="342">IF(ABS(t-T_para)&lt;pas/2,"Para","")</f>
        <v/>
      </c>
      <c r="AA709" s="316" t="str">
        <f t="shared" ref="AA709:AA772" ca="1" si="343">IF(ABS(t-T_satellite)&lt;pas/2,"Satellite","")</f>
        <v/>
      </c>
      <c r="AC709" s="310" t="e">
        <f t="shared" ref="AC709:AC772" ca="1" si="344">IF(ABS(t-ROUND(t,0))&lt;0.001,t,NA())</f>
        <v>#N/A</v>
      </c>
      <c r="AD709" s="323" t="e">
        <f t="shared" ref="AD709:AD772" ca="1" si="345">IF(ABS(t-ROUND(t,0))&lt;0.001,pos_x,NA())</f>
        <v>#N/A</v>
      </c>
      <c r="AE709" s="324" t="e">
        <f t="shared" ca="1" si="324"/>
        <v>#N/A</v>
      </c>
      <c r="AG709" s="306">
        <f t="shared" ref="AG709:AG772" ca="1" si="346">IF(AND(L708&lt;L_rampe,Poussee&lt;Poids*SIN(M708)),0,(-W708+Poussee)/m-Poids*SIN(M708)/m)</f>
        <v>7.055242930483816</v>
      </c>
      <c r="AH709" s="304">
        <f t="shared" ref="AH709:AH772" ca="1" si="347">IF(AND(L708&lt;L_rampe,Poussee&lt;Poids*SIN(M708)), g*SIN(M708), (-W708+Poussee)/m)</f>
        <v>-2.516599795120753</v>
      </c>
    </row>
    <row r="710" spans="1:34" x14ac:dyDescent="0.2">
      <c r="A710" s="347">
        <f t="shared" ca="1" si="325"/>
        <v>0.1</v>
      </c>
      <c r="B710" s="304">
        <f t="shared" ca="1" si="326"/>
        <v>38.600000000000207</v>
      </c>
      <c r="D710" s="306">
        <f t="shared" ca="1" si="327"/>
        <v>-0.5542297947615582</v>
      </c>
      <c r="E710" s="307">
        <f t="shared" ca="1" si="328"/>
        <v>-7.3156137304456159</v>
      </c>
      <c r="F710" s="304">
        <f t="shared" ca="1" si="329"/>
        <v>7.3365778751735373</v>
      </c>
      <c r="G710" s="306">
        <f t="shared" ca="1" si="330"/>
        <v>21.530235846823228</v>
      </c>
      <c r="H710" s="307">
        <f t="shared" ca="1" si="331"/>
        <v>-97.880743002247669</v>
      </c>
      <c r="I710" s="304">
        <f t="shared" ca="1" si="332"/>
        <v>100.2207109648095</v>
      </c>
      <c r="J710" s="306">
        <f t="shared" ca="1" si="333"/>
        <v>1093.9185772148887</v>
      </c>
      <c r="K710" s="307">
        <f t="shared" ca="1" si="334"/>
        <v>3258.5948428687375</v>
      </c>
      <c r="L710" s="304">
        <f t="shared" ca="1" si="319"/>
        <v>3437.3097334320305</v>
      </c>
      <c r="M710" s="306">
        <f t="shared" ca="1" si="335"/>
        <v>-1.3542803981901204</v>
      </c>
      <c r="N710" s="304">
        <f t="shared" ca="1" si="336"/>
        <v>-77.594551093590468</v>
      </c>
      <c r="P710" s="310">
        <f t="shared" ca="1" si="337"/>
        <v>23</v>
      </c>
      <c r="Q710" s="304">
        <f t="shared" ca="1" si="338"/>
        <v>0</v>
      </c>
      <c r="R710" s="306">
        <f t="shared" ca="1" si="339"/>
        <v>0</v>
      </c>
      <c r="S710" s="307">
        <f t="shared" ca="1" si="340"/>
        <v>5.6519999999999806</v>
      </c>
      <c r="T710" s="304">
        <f t="shared" ca="1" si="320"/>
        <v>55.446119999999816</v>
      </c>
      <c r="U710" s="311">
        <f t="shared" ca="1" si="321"/>
        <v>0</v>
      </c>
      <c r="V710" s="306">
        <f t="shared" ca="1" si="322"/>
        <v>0.88174807876554828</v>
      </c>
      <c r="W710" s="304">
        <f t="shared" ca="1" si="323"/>
        <v>14.661335926426565</v>
      </c>
      <c r="Y710" s="314" t="str">
        <f t="shared" ca="1" si="341"/>
        <v/>
      </c>
      <c r="Z710" s="315" t="str">
        <f t="shared" ca="1" si="342"/>
        <v/>
      </c>
      <c r="AA710" s="316" t="str">
        <f t="shared" ca="1" si="343"/>
        <v/>
      </c>
      <c r="AC710" s="310" t="e">
        <f t="shared" ca="1" si="344"/>
        <v>#N/A</v>
      </c>
      <c r="AD710" s="323" t="e">
        <f t="shared" ca="1" si="345"/>
        <v>#N/A</v>
      </c>
      <c r="AE710" s="324" t="e">
        <f t="shared" ca="1" si="324"/>
        <v>#N/A</v>
      </c>
      <c r="AG710" s="306">
        <f t="shared" ca="1" si="346"/>
        <v>7.0212417626111137</v>
      </c>
      <c r="AH710" s="304">
        <f t="shared" ca="1" si="347"/>
        <v>-2.5552169236960833</v>
      </c>
    </row>
    <row r="711" spans="1:34" x14ac:dyDescent="0.2">
      <c r="A711" s="347">
        <f t="shared" ca="1" si="325"/>
        <v>0.1</v>
      </c>
      <c r="B711" s="304">
        <f t="shared" ca="1" si="326"/>
        <v>38.700000000000209</v>
      </c>
      <c r="D711" s="306">
        <f t="shared" ca="1" si="327"/>
        <v>-0.5572661959364813</v>
      </c>
      <c r="E711" s="307">
        <f t="shared" ca="1" si="328"/>
        <v>-7.276556813573082</v>
      </c>
      <c r="F711" s="304">
        <f t="shared" ca="1" si="329"/>
        <v>7.2978643913332872</v>
      </c>
      <c r="G711" s="306">
        <f t="shared" ca="1" si="330"/>
        <v>21.474509227229579</v>
      </c>
      <c r="H711" s="307">
        <f t="shared" ca="1" si="331"/>
        <v>-98.608398683604975</v>
      </c>
      <c r="I711" s="304">
        <f t="shared" ca="1" si="332"/>
        <v>100.91962563097009</v>
      </c>
      <c r="J711" s="306">
        <f t="shared" ca="1" si="333"/>
        <v>1096.0688144685914</v>
      </c>
      <c r="K711" s="307">
        <f t="shared" ca="1" si="334"/>
        <v>3248.7703857844449</v>
      </c>
      <c r="L711" s="304">
        <f t="shared" ca="1" si="319"/>
        <v>3428.6842761620082</v>
      </c>
      <c r="M711" s="306">
        <f t="shared" ca="1" si="335"/>
        <v>-1.3563686602594418</v>
      </c>
      <c r="N711" s="304">
        <f t="shared" ca="1" si="336"/>
        <v>-77.714199696679842</v>
      </c>
      <c r="P711" s="310">
        <f t="shared" ca="1" si="337"/>
        <v>23</v>
      </c>
      <c r="Q711" s="304">
        <f t="shared" ca="1" si="338"/>
        <v>0</v>
      </c>
      <c r="R711" s="306">
        <f t="shared" ca="1" si="339"/>
        <v>0</v>
      </c>
      <c r="S711" s="307">
        <f t="shared" ca="1" si="340"/>
        <v>5.6519999999999806</v>
      </c>
      <c r="T711" s="304">
        <f t="shared" ca="1" si="320"/>
        <v>55.446119999999816</v>
      </c>
      <c r="U711" s="311">
        <f t="shared" ca="1" si="321"/>
        <v>0</v>
      </c>
      <c r="V711" s="306">
        <f t="shared" ca="1" si="322"/>
        <v>0.88263834761606341</v>
      </c>
      <c r="W711" s="304">
        <f t="shared" ca="1" si="323"/>
        <v>14.88154827996126</v>
      </c>
      <c r="Y711" s="314" t="str">
        <f t="shared" ca="1" si="341"/>
        <v/>
      </c>
      <c r="Z711" s="315" t="str">
        <f t="shared" ca="1" si="342"/>
        <v/>
      </c>
      <c r="AA711" s="316" t="str">
        <f t="shared" ca="1" si="343"/>
        <v/>
      </c>
      <c r="AC711" s="310" t="e">
        <f t="shared" ca="1" si="344"/>
        <v>#N/A</v>
      </c>
      <c r="AD711" s="323" t="e">
        <f t="shared" ca="1" si="345"/>
        <v>#N/A</v>
      </c>
      <c r="AE711" s="324" t="e">
        <f t="shared" ca="1" si="324"/>
        <v>#N/A</v>
      </c>
      <c r="AG711" s="306">
        <f t="shared" ca="1" si="346"/>
        <v>6.9869461914763376</v>
      </c>
      <c r="AH711" s="304">
        <f t="shared" ca="1" si="347"/>
        <v>-2.5940084795517722</v>
      </c>
    </row>
    <row r="712" spans="1:34" x14ac:dyDescent="0.2">
      <c r="A712" s="347">
        <f t="shared" ca="1" si="325"/>
        <v>0.1</v>
      </c>
      <c r="B712" s="304">
        <f t="shared" ca="1" si="326"/>
        <v>38.80000000000021</v>
      </c>
      <c r="D712" s="306">
        <f t="shared" ca="1" si="327"/>
        <v>-0.56026511391966538</v>
      </c>
      <c r="E712" s="307">
        <f t="shared" ca="1" si="328"/>
        <v>-7.2373290654832294</v>
      </c>
      <c r="F712" s="304">
        <f t="shared" ca="1" si="329"/>
        <v>7.258982642213974</v>
      </c>
      <c r="G712" s="306">
        <f t="shared" ca="1" si="330"/>
        <v>21.418482715837612</v>
      </c>
      <c r="H712" s="307">
        <f t="shared" ca="1" si="331"/>
        <v>-99.332131590153296</v>
      </c>
      <c r="I712" s="304">
        <f t="shared" ca="1" si="332"/>
        <v>101.61507648027514</v>
      </c>
      <c r="J712" s="306">
        <f t="shared" ca="1" si="333"/>
        <v>1098.2134640657448</v>
      </c>
      <c r="K712" s="307">
        <f t="shared" ca="1" si="334"/>
        <v>3238.8733592707572</v>
      </c>
      <c r="L712" s="304">
        <f t="shared" ca="1" si="319"/>
        <v>3419.9961184260314</v>
      </c>
      <c r="M712" s="306">
        <f t="shared" ca="1" si="335"/>
        <v>-1.3584229362059745</v>
      </c>
      <c r="N712" s="304">
        <f t="shared" ca="1" si="336"/>
        <v>-77.831901038371413</v>
      </c>
      <c r="P712" s="310">
        <f t="shared" ca="1" si="337"/>
        <v>23</v>
      </c>
      <c r="Q712" s="304">
        <f t="shared" ca="1" si="338"/>
        <v>0</v>
      </c>
      <c r="R712" s="306">
        <f t="shared" ca="1" si="339"/>
        <v>0</v>
      </c>
      <c r="S712" s="307">
        <f t="shared" ca="1" si="340"/>
        <v>5.6519999999999806</v>
      </c>
      <c r="T712" s="304">
        <f t="shared" ca="1" si="320"/>
        <v>55.446119999999816</v>
      </c>
      <c r="U712" s="311">
        <f t="shared" ca="1" si="321"/>
        <v>0</v>
      </c>
      <c r="V712" s="306">
        <f t="shared" ca="1" si="322"/>
        <v>0.88353595363530291</v>
      </c>
      <c r="W712" s="304">
        <f t="shared" ca="1" si="323"/>
        <v>15.102699718746839</v>
      </c>
      <c r="Y712" s="314" t="str">
        <f t="shared" ca="1" si="341"/>
        <v/>
      </c>
      <c r="Z712" s="315" t="str">
        <f t="shared" ca="1" si="342"/>
        <v/>
      </c>
      <c r="AA712" s="316" t="str">
        <f t="shared" ca="1" si="343"/>
        <v/>
      </c>
      <c r="AC712" s="310" t="e">
        <f t="shared" ca="1" si="344"/>
        <v>#N/A</v>
      </c>
      <c r="AD712" s="323" t="e">
        <f t="shared" ca="1" si="345"/>
        <v>#N/A</v>
      </c>
      <c r="AE712" s="324" t="e">
        <f t="shared" ca="1" si="324"/>
        <v>#N/A</v>
      </c>
      <c r="AG712" s="306">
        <f t="shared" ca="1" si="346"/>
        <v>6.9523643904574151</v>
      </c>
      <c r="AH712" s="304">
        <f t="shared" ca="1" si="347"/>
        <v>-2.632970325541633</v>
      </c>
    </row>
    <row r="713" spans="1:34" x14ac:dyDescent="0.2">
      <c r="A713" s="347">
        <f t="shared" ca="1" si="325"/>
        <v>0.1</v>
      </c>
      <c r="B713" s="304">
        <f t="shared" ca="1" si="326"/>
        <v>38.900000000000212</v>
      </c>
      <c r="D713" s="306">
        <f t="shared" ca="1" si="327"/>
        <v>-0.56322638055098939</v>
      </c>
      <c r="E713" s="307">
        <f t="shared" ca="1" si="328"/>
        <v>-7.1979346314961994</v>
      </c>
      <c r="F713" s="304">
        <f t="shared" ca="1" si="329"/>
        <v>7.2199367666926904</v>
      </c>
      <c r="G713" s="306">
        <f t="shared" ca="1" si="330"/>
        <v>21.362160077782512</v>
      </c>
      <c r="H713" s="307">
        <f t="shared" ca="1" si="331"/>
        <v>-100.05192505330291</v>
      </c>
      <c r="I713" s="304">
        <f t="shared" ca="1" si="332"/>
        <v>102.30703587760007</v>
      </c>
      <c r="J713" s="306">
        <f t="shared" ca="1" si="333"/>
        <v>1100.3524962054257</v>
      </c>
      <c r="K713" s="307">
        <f t="shared" ca="1" si="334"/>
        <v>3228.9041564385843</v>
      </c>
      <c r="L713" s="304">
        <f t="shared" ca="1" si="319"/>
        <v>3411.2457647275837</v>
      </c>
      <c r="M713" s="306">
        <f t="shared" ca="1" si="335"/>
        <v>-1.3604440667008326</v>
      </c>
      <c r="N713" s="304">
        <f t="shared" ca="1" si="336"/>
        <v>-77.947703285571961</v>
      </c>
      <c r="P713" s="310">
        <f t="shared" ca="1" si="337"/>
        <v>23</v>
      </c>
      <c r="Q713" s="304">
        <f t="shared" ca="1" si="338"/>
        <v>0</v>
      </c>
      <c r="R713" s="306">
        <f t="shared" ca="1" si="339"/>
        <v>0</v>
      </c>
      <c r="S713" s="307">
        <f t="shared" ca="1" si="340"/>
        <v>5.6519999999999806</v>
      </c>
      <c r="T713" s="304">
        <f t="shared" ca="1" si="320"/>
        <v>55.446119999999816</v>
      </c>
      <c r="U713" s="311">
        <f t="shared" ca="1" si="321"/>
        <v>0</v>
      </c>
      <c r="V713" s="306">
        <f t="shared" ca="1" si="322"/>
        <v>0.88444087891542611</v>
      </c>
      <c r="W713" s="304">
        <f t="shared" ca="1" si="323"/>
        <v>15.324766841001443</v>
      </c>
      <c r="Y713" s="314" t="str">
        <f t="shared" ca="1" si="341"/>
        <v/>
      </c>
      <c r="Z713" s="315" t="str">
        <f t="shared" ca="1" si="342"/>
        <v/>
      </c>
      <c r="AA713" s="316" t="str">
        <f t="shared" ca="1" si="343"/>
        <v/>
      </c>
      <c r="AC713" s="310" t="e">
        <f t="shared" ca="1" si="344"/>
        <v>#N/A</v>
      </c>
      <c r="AD713" s="323" t="e">
        <f t="shared" ca="1" si="345"/>
        <v>#N/A</v>
      </c>
      <c r="AE713" s="324" t="e">
        <f t="shared" ca="1" si="324"/>
        <v>#N/A</v>
      </c>
      <c r="AG713" s="306">
        <f t="shared" ca="1" si="346"/>
        <v>6.9175043688779194</v>
      </c>
      <c r="AH713" s="304">
        <f t="shared" ca="1" si="347"/>
        <v>-2.6720983224959114</v>
      </c>
    </row>
    <row r="714" spans="1:34" x14ac:dyDescent="0.2">
      <c r="A714" s="347">
        <f t="shared" ca="1" si="325"/>
        <v>0.1</v>
      </c>
      <c r="B714" s="304">
        <f t="shared" ca="1" si="326"/>
        <v>39.000000000000213</v>
      </c>
      <c r="D714" s="306">
        <f t="shared" ca="1" si="327"/>
        <v>-0.56614983555177012</v>
      </c>
      <c r="E714" s="307">
        <f t="shared" ca="1" si="328"/>
        <v>-7.1583776589391892</v>
      </c>
      <c r="F714" s="304">
        <f t="shared" ca="1" si="329"/>
        <v>7.1807309059938316</v>
      </c>
      <c r="G714" s="306">
        <f t="shared" ca="1" si="330"/>
        <v>21.305545094227334</v>
      </c>
      <c r="H714" s="307">
        <f t="shared" ca="1" si="331"/>
        <v>-100.76776281919683</v>
      </c>
      <c r="I714" s="304">
        <f t="shared" ca="1" si="332"/>
        <v>102.9954769654865</v>
      </c>
      <c r="J714" s="306">
        <f t="shared" ca="1" si="333"/>
        <v>1102.4858814640263</v>
      </c>
      <c r="K714" s="307">
        <f t="shared" ca="1" si="334"/>
        <v>3218.8631720449594</v>
      </c>
      <c r="L714" s="304">
        <f t="shared" ca="1" si="319"/>
        <v>3402.4337229657904</v>
      </c>
      <c r="M714" s="306">
        <f t="shared" ca="1" si="335"/>
        <v>-1.362432865291606</v>
      </c>
      <c r="N714" s="304">
        <f t="shared" ca="1" si="336"/>
        <v>-78.06165305112485</v>
      </c>
      <c r="P714" s="310">
        <f t="shared" ca="1" si="337"/>
        <v>23</v>
      </c>
      <c r="Q714" s="304">
        <f t="shared" ca="1" si="338"/>
        <v>0</v>
      </c>
      <c r="R714" s="306">
        <f t="shared" ca="1" si="339"/>
        <v>0</v>
      </c>
      <c r="S714" s="307">
        <f t="shared" ca="1" si="340"/>
        <v>5.6519999999999806</v>
      </c>
      <c r="T714" s="304">
        <f t="shared" ca="1" si="320"/>
        <v>55.446119999999816</v>
      </c>
      <c r="U714" s="311">
        <f t="shared" ca="1" si="321"/>
        <v>0</v>
      </c>
      <c r="V714" s="306">
        <f t="shared" ca="1" si="322"/>
        <v>0.88535310544381041</v>
      </c>
      <c r="W714" s="304">
        <f t="shared" ca="1" si="323"/>
        <v>15.547726241976058</v>
      </c>
      <c r="Y714" s="314" t="str">
        <f t="shared" ca="1" si="341"/>
        <v/>
      </c>
      <c r="Z714" s="315" t="str">
        <f t="shared" ca="1" si="342"/>
        <v/>
      </c>
      <c r="AA714" s="316" t="str">
        <f t="shared" ca="1" si="343"/>
        <v/>
      </c>
      <c r="AC714" s="310">
        <f t="shared" ca="1" si="344"/>
        <v>39.000000000000213</v>
      </c>
      <c r="AD714" s="323">
        <f t="shared" ca="1" si="345"/>
        <v>1102.4858814640263</v>
      </c>
      <c r="AE714" s="324" t="e">
        <f t="shared" ca="1" si="324"/>
        <v>#N/A</v>
      </c>
      <c r="AG714" s="306">
        <f t="shared" ca="1" si="346"/>
        <v>6.882373979271148</v>
      </c>
      <c r="AH714" s="304">
        <f t="shared" ca="1" si="347"/>
        <v>-2.7113883299719559</v>
      </c>
    </row>
    <row r="715" spans="1:34" x14ac:dyDescent="0.2">
      <c r="A715" s="347">
        <f t="shared" ca="1" si="325"/>
        <v>0.1</v>
      </c>
      <c r="B715" s="304">
        <f t="shared" ca="1" si="326"/>
        <v>39.100000000000215</v>
      </c>
      <c r="D715" s="306">
        <f t="shared" ca="1" si="327"/>
        <v>-0.56903532642270149</v>
      </c>
      <c r="E715" s="307">
        <f t="shared" ca="1" si="328"/>
        <v>-7.1186622963594957</v>
      </c>
      <c r="F715" s="304">
        <f t="shared" ca="1" si="329"/>
        <v>7.1413692029139089</v>
      </c>
      <c r="G715" s="306">
        <f t="shared" ca="1" si="330"/>
        <v>21.248641561585064</v>
      </c>
      <c r="H715" s="307">
        <f t="shared" ca="1" si="331"/>
        <v>-101.47962904883278</v>
      </c>
      <c r="I715" s="304">
        <f t="shared" ca="1" si="332"/>
        <v>103.68037364950719</v>
      </c>
      <c r="J715" s="306">
        <f t="shared" ca="1" si="333"/>
        <v>1104.6135907968169</v>
      </c>
      <c r="K715" s="307">
        <f t="shared" ca="1" si="334"/>
        <v>3208.7508024515578</v>
      </c>
      <c r="L715" s="304">
        <f t="shared" ca="1" si="319"/>
        <v>3393.5605044269582</v>
      </c>
      <c r="M715" s="306">
        <f t="shared" ca="1" si="335"/>
        <v>-1.3643901194651553</v>
      </c>
      <c r="N715" s="304">
        <f t="shared" ca="1" si="336"/>
        <v>-78.173795454703594</v>
      </c>
      <c r="P715" s="310">
        <f t="shared" ca="1" si="337"/>
        <v>23</v>
      </c>
      <c r="Q715" s="304">
        <f t="shared" ca="1" si="338"/>
        <v>0</v>
      </c>
      <c r="R715" s="306">
        <f t="shared" ca="1" si="339"/>
        <v>0</v>
      </c>
      <c r="S715" s="307">
        <f t="shared" ca="1" si="340"/>
        <v>5.6519999999999806</v>
      </c>
      <c r="T715" s="304">
        <f t="shared" ca="1" si="320"/>
        <v>55.446119999999816</v>
      </c>
      <c r="U715" s="311">
        <f t="shared" ca="1" si="321"/>
        <v>0</v>
      </c>
      <c r="V715" s="306">
        <f t="shared" ca="1" si="322"/>
        <v>0.88627261510447564</v>
      </c>
      <c r="W715" s="304">
        <f t="shared" ca="1" si="323"/>
        <v>15.771554518164736</v>
      </c>
      <c r="Y715" s="314" t="str">
        <f t="shared" ca="1" si="341"/>
        <v/>
      </c>
      <c r="Z715" s="315" t="str">
        <f t="shared" ca="1" si="342"/>
        <v/>
      </c>
      <c r="AA715" s="316" t="str">
        <f t="shared" ca="1" si="343"/>
        <v/>
      </c>
      <c r="AC715" s="310" t="e">
        <f t="shared" ca="1" si="344"/>
        <v>#N/A</v>
      </c>
      <c r="AD715" s="323" t="e">
        <f t="shared" ca="1" si="345"/>
        <v>#N/A</v>
      </c>
      <c r="AE715" s="324" t="e">
        <f t="shared" ca="1" si="324"/>
        <v>#N/A</v>
      </c>
      <c r="AG715" s="306">
        <f t="shared" ca="1" si="346"/>
        <v>6.8469809242062034</v>
      </c>
      <c r="AH715" s="304">
        <f t="shared" ca="1" si="347"/>
        <v>-2.7508362070021426</v>
      </c>
    </row>
    <row r="716" spans="1:34" x14ac:dyDescent="0.2">
      <c r="A716" s="347">
        <f t="shared" ca="1" si="325"/>
        <v>0.1</v>
      </c>
      <c r="B716" s="304">
        <f t="shared" ca="1" si="326"/>
        <v>39.200000000000216</v>
      </c>
      <c r="D716" s="306">
        <f t="shared" ca="1" si="327"/>
        <v>-0.57188270834502819</v>
      </c>
      <c r="E716" s="307">
        <f t="shared" ca="1" si="328"/>
        <v>-7.0787926927425602</v>
      </c>
      <c r="F716" s="304">
        <f t="shared" ca="1" si="329"/>
        <v>7.1018558010515473</v>
      </c>
      <c r="G716" s="306">
        <f t="shared" ca="1" si="330"/>
        <v>21.191453290750562</v>
      </c>
      <c r="H716" s="307">
        <f t="shared" ca="1" si="331"/>
        <v>-102.18750831810704</v>
      </c>
      <c r="I716" s="304">
        <f t="shared" ca="1" si="332"/>
        <v>104.36170058425292</v>
      </c>
      <c r="J716" s="306">
        <f t="shared" ca="1" si="333"/>
        <v>1106.7355955394337</v>
      </c>
      <c r="K716" s="307">
        <f t="shared" ca="1" si="334"/>
        <v>3198.5674455832109</v>
      </c>
      <c r="L716" s="304">
        <f t="shared" ca="1" si="319"/>
        <v>3384.6266237767991</v>
      </c>
      <c r="M716" s="306">
        <f t="shared" ca="1" si="335"/>
        <v>-1.3663165916618643</v>
      </c>
      <c r="N716" s="304">
        <f t="shared" ca="1" si="336"/>
        <v>-78.28417418092431</v>
      </c>
      <c r="P716" s="310">
        <f t="shared" ca="1" si="337"/>
        <v>23</v>
      </c>
      <c r="Q716" s="304">
        <f t="shared" ca="1" si="338"/>
        <v>0</v>
      </c>
      <c r="R716" s="306">
        <f t="shared" ca="1" si="339"/>
        <v>0</v>
      </c>
      <c r="S716" s="307">
        <f t="shared" ca="1" si="340"/>
        <v>5.6519999999999806</v>
      </c>
      <c r="T716" s="304">
        <f t="shared" ca="1" si="320"/>
        <v>55.446119999999816</v>
      </c>
      <c r="U716" s="311">
        <f t="shared" ca="1" si="321"/>
        <v>0</v>
      </c>
      <c r="V716" s="306">
        <f t="shared" ca="1" si="322"/>
        <v>0.88719938967951817</v>
      </c>
      <c r="W716" s="304">
        <f t="shared" ca="1" si="323"/>
        <v>15.996228271496776</v>
      </c>
      <c r="Y716" s="314" t="str">
        <f t="shared" ca="1" si="341"/>
        <v/>
      </c>
      <c r="Z716" s="315" t="str">
        <f t="shared" ca="1" si="342"/>
        <v/>
      </c>
      <c r="AA716" s="316" t="str">
        <f t="shared" ca="1" si="343"/>
        <v/>
      </c>
      <c r="AC716" s="310" t="e">
        <f t="shared" ca="1" si="344"/>
        <v>#N/A</v>
      </c>
      <c r="AD716" s="323" t="e">
        <f t="shared" ca="1" si="345"/>
        <v>#N/A</v>
      </c>
      <c r="AE716" s="324" t="e">
        <f t="shared" ca="1" si="324"/>
        <v>#N/A</v>
      </c>
      <c r="AG716" s="306">
        <f t="shared" ca="1" si="346"/>
        <v>6.8113327627033291</v>
      </c>
      <c r="AH716" s="304">
        <f t="shared" ca="1" si="347"/>
        <v>-2.790437812838781</v>
      </c>
    </row>
    <row r="717" spans="1:34" x14ac:dyDescent="0.2">
      <c r="A717" s="347">
        <f t="shared" ca="1" si="325"/>
        <v>0.1</v>
      </c>
      <c r="B717" s="304">
        <f t="shared" ca="1" si="326"/>
        <v>39.300000000000217</v>
      </c>
      <c r="D717" s="306">
        <f t="shared" ca="1" si="327"/>
        <v>-0.57469184408472174</v>
      </c>
      <c r="E717" s="307">
        <f t="shared" ca="1" si="328"/>
        <v>-7.0387729967350552</v>
      </c>
      <c r="F717" s="304">
        <f t="shared" ca="1" si="329"/>
        <v>7.0621948440427555</v>
      </c>
      <c r="G717" s="306">
        <f t="shared" ca="1" si="330"/>
        <v>21.133984106342091</v>
      </c>
      <c r="H717" s="307">
        <f t="shared" ca="1" si="331"/>
        <v>-102.89138561778054</v>
      </c>
      <c r="I717" s="304">
        <f t="shared" ca="1" si="332"/>
        <v>105.03943315990398</v>
      </c>
      <c r="J717" s="306">
        <f t="shared" ca="1" si="333"/>
        <v>1108.8518674092884</v>
      </c>
      <c r="K717" s="307">
        <f t="shared" ca="1" si="334"/>
        <v>3188.3135008864165</v>
      </c>
      <c r="L717" s="304">
        <f t="shared" ca="1" si="319"/>
        <v>3375.6325990533483</v>
      </c>
      <c r="M717" s="306">
        <f t="shared" ca="1" si="335"/>
        <v>-1.3682130202438567</v>
      </c>
      <c r="N717" s="304">
        <f t="shared" ca="1" si="336"/>
        <v>-78.392831534820459</v>
      </c>
      <c r="P717" s="310">
        <f t="shared" ca="1" si="337"/>
        <v>23</v>
      </c>
      <c r="Q717" s="304">
        <f t="shared" ca="1" si="338"/>
        <v>0</v>
      </c>
      <c r="R717" s="306">
        <f t="shared" ca="1" si="339"/>
        <v>0</v>
      </c>
      <c r="S717" s="307">
        <f t="shared" ca="1" si="340"/>
        <v>5.6519999999999806</v>
      </c>
      <c r="T717" s="304">
        <f t="shared" ca="1" si="320"/>
        <v>55.446119999999816</v>
      </c>
      <c r="U717" s="311">
        <f t="shared" ca="1" si="321"/>
        <v>0</v>
      </c>
      <c r="V717" s="306">
        <f t="shared" ca="1" si="322"/>
        <v>0.88813341085055142</v>
      </c>
      <c r="W717" s="304">
        <f t="shared" ca="1" si="323"/>
        <v>16.22172411350952</v>
      </c>
      <c r="Y717" s="314" t="str">
        <f t="shared" ca="1" si="341"/>
        <v/>
      </c>
      <c r="Z717" s="315" t="str">
        <f t="shared" ca="1" si="342"/>
        <v/>
      </c>
      <c r="AA717" s="316" t="str">
        <f t="shared" ca="1" si="343"/>
        <v/>
      </c>
      <c r="AC717" s="310" t="e">
        <f t="shared" ca="1" si="344"/>
        <v>#N/A</v>
      </c>
      <c r="AD717" s="323" t="e">
        <f t="shared" ca="1" si="345"/>
        <v>#N/A</v>
      </c>
      <c r="AE717" s="324" t="e">
        <f t="shared" ca="1" si="324"/>
        <v>#N/A</v>
      </c>
      <c r="AG717" s="306">
        <f t="shared" ca="1" si="346"/>
        <v>6.7754369162639652</v>
      </c>
      <c r="AH717" s="304">
        <f t="shared" ca="1" si="347"/>
        <v>-2.83018900769583</v>
      </c>
    </row>
    <row r="718" spans="1:34" x14ac:dyDescent="0.2">
      <c r="A718" s="347">
        <f t="shared" ca="1" si="325"/>
        <v>0.1</v>
      </c>
      <c r="B718" s="304">
        <f t="shared" ca="1" si="326"/>
        <v>39.400000000000219</v>
      </c>
      <c r="D718" s="306">
        <f t="shared" ca="1" si="327"/>
        <v>-0.5774626038994336</v>
      </c>
      <c r="E718" s="307">
        <f t="shared" ca="1" si="328"/>
        <v>-6.9986073558731334</v>
      </c>
      <c r="F718" s="304">
        <f t="shared" ca="1" si="329"/>
        <v>7.0223904748015711</v>
      </c>
      <c r="G718" s="306">
        <f t="shared" ca="1" si="330"/>
        <v>21.076237845952146</v>
      </c>
      <c r="H718" s="307">
        <f t="shared" ca="1" si="331"/>
        <v>-103.59124635336785</v>
      </c>
      <c r="I718" s="304">
        <f t="shared" ca="1" si="332"/>
        <v>105.71354748935111</v>
      </c>
      <c r="J718" s="306">
        <f t="shared" ca="1" si="333"/>
        <v>1110.9623785069032</v>
      </c>
      <c r="K718" s="307">
        <f t="shared" ca="1" si="334"/>
        <v>3177.9893692878591</v>
      </c>
      <c r="L718" s="304">
        <f t="shared" ca="1" si="319"/>
        <v>3366.578951660626</v>
      </c>
      <c r="M718" s="306">
        <f t="shared" ca="1" si="335"/>
        <v>-1.3700801204195414</v>
      </c>
      <c r="N718" s="304">
        <f t="shared" ca="1" si="336"/>
        <v>-78.499808494815326</v>
      </c>
      <c r="P718" s="310">
        <f t="shared" ca="1" si="337"/>
        <v>23</v>
      </c>
      <c r="Q718" s="304">
        <f t="shared" ca="1" si="338"/>
        <v>0</v>
      </c>
      <c r="R718" s="306">
        <f t="shared" ca="1" si="339"/>
        <v>0</v>
      </c>
      <c r="S718" s="307">
        <f t="shared" ca="1" si="340"/>
        <v>5.6519999999999806</v>
      </c>
      <c r="T718" s="304">
        <f t="shared" ca="1" si="320"/>
        <v>55.446119999999816</v>
      </c>
      <c r="U718" s="311">
        <f t="shared" ca="1" si="321"/>
        <v>0</v>
      </c>
      <c r="V718" s="306">
        <f t="shared" ca="1" si="322"/>
        <v>0.88907466020015358</v>
      </c>
      <c r="W718" s="304">
        <f t="shared" ca="1" si="323"/>
        <v>16.448018669500605</v>
      </c>
      <c r="Y718" s="314" t="str">
        <f t="shared" ca="1" si="341"/>
        <v/>
      </c>
      <c r="Z718" s="315" t="str">
        <f t="shared" ca="1" si="342"/>
        <v/>
      </c>
      <c r="AA718" s="316" t="str">
        <f t="shared" ca="1" si="343"/>
        <v/>
      </c>
      <c r="AC718" s="310" t="e">
        <f t="shared" ca="1" si="344"/>
        <v>#N/A</v>
      </c>
      <c r="AD718" s="323" t="e">
        <f t="shared" ca="1" si="345"/>
        <v>#N/A</v>
      </c>
      <c r="AE718" s="324" t="e">
        <f t="shared" ca="1" si="324"/>
        <v>#N/A</v>
      </c>
      <c r="AG718" s="306">
        <f t="shared" ca="1" si="346"/>
        <v>6.7393006745392423</v>
      </c>
      <c r="AH718" s="304">
        <f t="shared" ca="1" si="347"/>
        <v>-2.8700856534871861</v>
      </c>
    </row>
    <row r="719" spans="1:34" x14ac:dyDescent="0.2">
      <c r="A719" s="347">
        <f t="shared" ca="1" si="325"/>
        <v>0.1</v>
      </c>
      <c r="B719" s="304">
        <f t="shared" ca="1" si="326"/>
        <v>39.50000000000022</v>
      </c>
      <c r="D719" s="306">
        <f t="shared" ca="1" si="327"/>
        <v>-0.58019486544801713</v>
      </c>
      <c r="E719" s="307">
        <f t="shared" ca="1" si="328"/>
        <v>-6.9582999158159566</v>
      </c>
      <c r="F719" s="304">
        <f t="shared" ca="1" si="329"/>
        <v>6.982446834766205</v>
      </c>
      <c r="G719" s="306">
        <f t="shared" ca="1" si="330"/>
        <v>21.018218359407346</v>
      </c>
      <c r="H719" s="307">
        <f t="shared" ca="1" si="331"/>
        <v>-104.28707634494944</v>
      </c>
      <c r="I719" s="304">
        <f t="shared" ca="1" si="332"/>
        <v>106.38402039583313</v>
      </c>
      <c r="J719" s="306">
        <f t="shared" ca="1" si="333"/>
        <v>1113.0671013171711</v>
      </c>
      <c r="K719" s="307">
        <f t="shared" ca="1" si="334"/>
        <v>3167.5954531529433</v>
      </c>
      <c r="L719" s="304">
        <f t="shared" ca="1" si="319"/>
        <v>3357.4662063630381</v>
      </c>
      <c r="M719" s="306">
        <f t="shared" ca="1" si="335"/>
        <v>-1.3719185851267151</v>
      </c>
      <c r="N719" s="304">
        <f t="shared" ca="1" si="336"/>
        <v>-78.605144763320126</v>
      </c>
      <c r="P719" s="310">
        <f t="shared" ca="1" si="337"/>
        <v>23</v>
      </c>
      <c r="Q719" s="304">
        <f t="shared" ca="1" si="338"/>
        <v>0</v>
      </c>
      <c r="R719" s="306">
        <f t="shared" ca="1" si="339"/>
        <v>0</v>
      </c>
      <c r="S719" s="307">
        <f t="shared" ca="1" si="340"/>
        <v>5.6519999999999806</v>
      </c>
      <c r="T719" s="304">
        <f t="shared" ca="1" si="320"/>
        <v>55.446119999999816</v>
      </c>
      <c r="U719" s="311">
        <f t="shared" ca="1" si="321"/>
        <v>0</v>
      </c>
      <c r="V719" s="306">
        <f t="shared" ca="1" si="322"/>
        <v>0.89002311921332589</v>
      </c>
      <c r="W719" s="304">
        <f t="shared" ca="1" si="323"/>
        <v>16.675088582658621</v>
      </c>
      <c r="Y719" s="314" t="str">
        <f t="shared" ca="1" si="341"/>
        <v/>
      </c>
      <c r="Z719" s="315" t="str">
        <f t="shared" ca="1" si="342"/>
        <v/>
      </c>
      <c r="AA719" s="316" t="str">
        <f t="shared" ca="1" si="343"/>
        <v/>
      </c>
      <c r="AC719" s="310" t="e">
        <f t="shared" ca="1" si="344"/>
        <v>#N/A</v>
      </c>
      <c r="AD719" s="323" t="e">
        <f t="shared" ca="1" si="345"/>
        <v>#N/A</v>
      </c>
      <c r="AE719" s="324" t="e">
        <f t="shared" ca="1" si="324"/>
        <v>#N/A</v>
      </c>
      <c r="AG719" s="306">
        <f t="shared" ca="1" si="346"/>
        <v>6.7029312006590818</v>
      </c>
      <c r="AH719" s="304">
        <f t="shared" ca="1" si="347"/>
        <v>-2.9101236145613343</v>
      </c>
    </row>
    <row r="720" spans="1:34" x14ac:dyDescent="0.2">
      <c r="A720" s="347">
        <f t="shared" ca="1" si="325"/>
        <v>0.1</v>
      </c>
      <c r="B720" s="304">
        <f t="shared" ca="1" si="326"/>
        <v>39.600000000000222</v>
      </c>
      <c r="D720" s="306">
        <f t="shared" ca="1" si="327"/>
        <v>-0.58288851370242734</v>
      </c>
      <c r="E720" s="307">
        <f t="shared" ca="1" si="328"/>
        <v>-6.9178548195845639</v>
      </c>
      <c r="F720" s="304">
        <f t="shared" ca="1" si="329"/>
        <v>6.9423680631507576</v>
      </c>
      <c r="G720" s="306">
        <f t="shared" ca="1" si="330"/>
        <v>20.959929508037103</v>
      </c>
      <c r="H720" s="307">
        <f t="shared" ca="1" si="331"/>
        <v>-104.9788618269079</v>
      </c>
      <c r="I720" s="304">
        <f t="shared" ca="1" si="332"/>
        <v>107.05082940106024</v>
      </c>
      <c r="J720" s="306">
        <f t="shared" ca="1" si="333"/>
        <v>1115.1660087105433</v>
      </c>
      <c r="K720" s="307">
        <f t="shared" ca="1" si="334"/>
        <v>3157.1321562443504</v>
      </c>
      <c r="L720" s="304">
        <f t="shared" ca="1" si="319"/>
        <v>3348.2948912805614</v>
      </c>
      <c r="M720" s="306">
        <f t="shared" ca="1" si="335"/>
        <v>-1.3737290858763274</v>
      </c>
      <c r="N720" s="304">
        <f t="shared" ca="1" si="336"/>
        <v>-78.70887881507818</v>
      </c>
      <c r="P720" s="310">
        <f t="shared" ca="1" si="337"/>
        <v>23</v>
      </c>
      <c r="Q720" s="304">
        <f t="shared" ca="1" si="338"/>
        <v>0</v>
      </c>
      <c r="R720" s="306">
        <f t="shared" ca="1" si="339"/>
        <v>0</v>
      </c>
      <c r="S720" s="307">
        <f t="shared" ca="1" si="340"/>
        <v>5.6519999999999806</v>
      </c>
      <c r="T720" s="304">
        <f t="shared" ca="1" si="320"/>
        <v>55.446119999999816</v>
      </c>
      <c r="U720" s="311">
        <f t="shared" ca="1" si="321"/>
        <v>0</v>
      </c>
      <c r="V720" s="306">
        <f t="shared" ca="1" si="322"/>
        <v>0.89097876927895348</v>
      </c>
      <c r="W720" s="304">
        <f t="shared" ca="1" si="323"/>
        <v>16.902910518170771</v>
      </c>
      <c r="Y720" s="314" t="str">
        <f t="shared" ca="1" si="341"/>
        <v/>
      </c>
      <c r="Z720" s="315" t="str">
        <f t="shared" ca="1" si="342"/>
        <v/>
      </c>
      <c r="AA720" s="316" t="str">
        <f t="shared" ca="1" si="343"/>
        <v/>
      </c>
      <c r="AC720" s="310" t="e">
        <f t="shared" ca="1" si="344"/>
        <v>#N/A</v>
      </c>
      <c r="AD720" s="323" t="e">
        <f t="shared" ca="1" si="345"/>
        <v>#N/A</v>
      </c>
      <c r="AE720" s="324" t="e">
        <f t="shared" ca="1" si="324"/>
        <v>#N/A</v>
      </c>
      <c r="AG720" s="306">
        <f t="shared" ca="1" si="346"/>
        <v>6.666335536242638</v>
      </c>
      <c r="AH720" s="304">
        <f t="shared" ca="1" si="347"/>
        <v>-2.9502987584321794</v>
      </c>
    </row>
    <row r="721" spans="1:34" x14ac:dyDescent="0.2">
      <c r="A721" s="347">
        <f t="shared" ca="1" si="325"/>
        <v>0.1</v>
      </c>
      <c r="B721" s="304">
        <f t="shared" ca="1" si="326"/>
        <v>39.700000000000223</v>
      </c>
      <c r="D721" s="306">
        <f t="shared" ca="1" si="327"/>
        <v>-0.58554344086180732</v>
      </c>
      <c r="E721" s="307">
        <f t="shared" ca="1" si="328"/>
        <v>-6.8772762068062656</v>
      </c>
      <c r="F721" s="304">
        <f t="shared" ca="1" si="329"/>
        <v>6.9021582962027077</v>
      </c>
      <c r="G721" s="306">
        <f t="shared" ca="1" si="330"/>
        <v>20.901375163950924</v>
      </c>
      <c r="H721" s="307">
        <f t="shared" ca="1" si="331"/>
        <v>-105.66658944758854</v>
      </c>
      <c r="I721" s="304">
        <f t="shared" ca="1" si="332"/>
        <v>107.71395271379401</v>
      </c>
      <c r="J721" s="306">
        <f t="shared" ca="1" si="333"/>
        <v>1117.2590739441428</v>
      </c>
      <c r="K721" s="307">
        <f t="shared" ca="1" si="334"/>
        <v>3146.5998836806257</v>
      </c>
      <c r="L721" s="304">
        <f t="shared" ca="1" si="319"/>
        <v>3339.0655378847314</v>
      </c>
      <c r="M721" s="306">
        <f t="shared" ca="1" si="335"/>
        <v>-1.3755122735588952</v>
      </c>
      <c r="N721" s="304">
        <f t="shared" ca="1" si="336"/>
        <v>-78.811047943369033</v>
      </c>
      <c r="P721" s="310">
        <f t="shared" ca="1" si="337"/>
        <v>23</v>
      </c>
      <c r="Q721" s="304">
        <f t="shared" ca="1" si="338"/>
        <v>0</v>
      </c>
      <c r="R721" s="306">
        <f t="shared" ca="1" si="339"/>
        <v>0</v>
      </c>
      <c r="S721" s="307">
        <f t="shared" ca="1" si="340"/>
        <v>5.6519999999999806</v>
      </c>
      <c r="T721" s="304">
        <f t="shared" ca="1" si="320"/>
        <v>55.446119999999816</v>
      </c>
      <c r="U721" s="311">
        <f t="shared" ca="1" si="321"/>
        <v>0</v>
      </c>
      <c r="V721" s="306">
        <f t="shared" ca="1" si="322"/>
        <v>0.89194159169127762</v>
      </c>
      <c r="W721" s="304">
        <f t="shared" ca="1" si="323"/>
        <v>17.131461167306608</v>
      </c>
      <c r="Y721" s="314" t="str">
        <f t="shared" ca="1" si="341"/>
        <v/>
      </c>
      <c r="Z721" s="315" t="str">
        <f t="shared" ca="1" si="342"/>
        <v/>
      </c>
      <c r="AA721" s="316" t="str">
        <f t="shared" ca="1" si="343"/>
        <v/>
      </c>
      <c r="AC721" s="310" t="e">
        <f t="shared" ca="1" si="344"/>
        <v>#N/A</v>
      </c>
      <c r="AD721" s="323" t="e">
        <f t="shared" ca="1" si="345"/>
        <v>#N/A</v>
      </c>
      <c r="AE721" s="324" t="e">
        <f t="shared" ca="1" si="324"/>
        <v>#N/A</v>
      </c>
      <c r="AG721" s="306">
        <f t="shared" ca="1" si="346"/>
        <v>6.6295206061094776</v>
      </c>
      <c r="AH721" s="304">
        <f t="shared" ca="1" si="347"/>
        <v>-2.9906069565058084</v>
      </c>
    </row>
    <row r="722" spans="1:34" x14ac:dyDescent="0.2">
      <c r="A722" s="347">
        <f t="shared" ca="1" si="325"/>
        <v>0.1</v>
      </c>
      <c r="B722" s="304">
        <f t="shared" ca="1" si="326"/>
        <v>39.800000000000225</v>
      </c>
      <c r="D722" s="306">
        <f t="shared" ca="1" si="327"/>
        <v>-0.58815954626859657</v>
      </c>
      <c r="E722" s="307">
        <f t="shared" ca="1" si="328"/>
        <v>-6.8365682129646075</v>
      </c>
      <c r="F722" s="304">
        <f t="shared" ca="1" si="329"/>
        <v>6.8618216664661995</v>
      </c>
      <c r="G722" s="306">
        <f t="shared" ca="1" si="330"/>
        <v>20.842559209324065</v>
      </c>
      <c r="H722" s="307">
        <f t="shared" ca="1" si="331"/>
        <v>-106.350246268885</v>
      </c>
      <c r="I722" s="304">
        <f t="shared" ca="1" si="332"/>
        <v>108.37336921885684</v>
      </c>
      <c r="J722" s="306">
        <f t="shared" ca="1" si="333"/>
        <v>1119.3462706628065</v>
      </c>
      <c r="K722" s="307">
        <f t="shared" ca="1" si="334"/>
        <v>3135.9990418948018</v>
      </c>
      <c r="L722" s="304">
        <f t="shared" ca="1" si="319"/>
        <v>3329.7786809954573</v>
      </c>
      <c r="M722" s="306">
        <f t="shared" ca="1" si="335"/>
        <v>-1.3772687792154363</v>
      </c>
      <c r="N722" s="304">
        <f t="shared" ca="1" si="336"/>
        <v>-78.911688304179691</v>
      </c>
      <c r="P722" s="310">
        <f t="shared" ca="1" si="337"/>
        <v>23</v>
      </c>
      <c r="Q722" s="304">
        <f t="shared" ca="1" si="338"/>
        <v>0</v>
      </c>
      <c r="R722" s="306">
        <f t="shared" ca="1" si="339"/>
        <v>0</v>
      </c>
      <c r="S722" s="307">
        <f t="shared" ca="1" si="340"/>
        <v>5.6519999999999806</v>
      </c>
      <c r="T722" s="304">
        <f t="shared" ca="1" si="320"/>
        <v>55.446119999999816</v>
      </c>
      <c r="U722" s="311">
        <f t="shared" ca="1" si="321"/>
        <v>0</v>
      </c>
      <c r="V722" s="306">
        <f t="shared" ca="1" si="322"/>
        <v>0.89291156765136959</v>
      </c>
      <c r="W722" s="304">
        <f t="shared" ca="1" si="323"/>
        <v>17.360717251476459</v>
      </c>
      <c r="Y722" s="314" t="str">
        <f t="shared" ca="1" si="341"/>
        <v/>
      </c>
      <c r="Z722" s="315" t="str">
        <f t="shared" ca="1" si="342"/>
        <v/>
      </c>
      <c r="AA722" s="316" t="str">
        <f t="shared" ca="1" si="343"/>
        <v/>
      </c>
      <c r="AC722" s="310" t="e">
        <f t="shared" ca="1" si="344"/>
        <v>#N/A</v>
      </c>
      <c r="AD722" s="323" t="e">
        <f t="shared" ca="1" si="345"/>
        <v>#N/A</v>
      </c>
      <c r="AE722" s="324" t="e">
        <f t="shared" ca="1" si="324"/>
        <v>#N/A</v>
      </c>
      <c r="AG722" s="306">
        <f t="shared" ca="1" si="346"/>
        <v>6.5924932227095709</v>
      </c>
      <c r="AH722" s="304">
        <f t="shared" ca="1" si="347"/>
        <v>-3.0310440848030193</v>
      </c>
    </row>
    <row r="723" spans="1:34" x14ac:dyDescent="0.2">
      <c r="A723" s="347">
        <f t="shared" ca="1" si="325"/>
        <v>0.1</v>
      </c>
      <c r="B723" s="304">
        <f t="shared" ca="1" si="326"/>
        <v>39.900000000000226</v>
      </c>
      <c r="D723" s="306">
        <f t="shared" ca="1" si="327"/>
        <v>-0.59073673632650381</v>
      </c>
      <c r="E723" s="307">
        <f t="shared" ca="1" si="328"/>
        <v>-6.7957349686551041</v>
      </c>
      <c r="F723" s="304">
        <f t="shared" ca="1" si="329"/>
        <v>6.8213623020513632</v>
      </c>
      <c r="G723" s="306">
        <f t="shared" ca="1" si="330"/>
        <v>20.783485535691415</v>
      </c>
      <c r="H723" s="307">
        <f t="shared" ca="1" si="331"/>
        <v>-107.02981976575052</v>
      </c>
      <c r="I723" s="304">
        <f t="shared" ca="1" si="332"/>
        <v>109.02905846654521</v>
      </c>
      <c r="J723" s="306">
        <f t="shared" ca="1" si="333"/>
        <v>1121.4275729000574</v>
      </c>
      <c r="K723" s="307">
        <f t="shared" ca="1" si="334"/>
        <v>3125.3300385930702</v>
      </c>
      <c r="L723" s="304">
        <f t="shared" ca="1" si="319"/>
        <v>3320.4348587786926</v>
      </c>
      <c r="M723" s="306">
        <f t="shared" ca="1" si="335"/>
        <v>-1.3789992147747014</v>
      </c>
      <c r="N723" s="304">
        <f t="shared" ca="1" si="336"/>
        <v>-79.010834958444946</v>
      </c>
      <c r="P723" s="310">
        <f t="shared" ca="1" si="337"/>
        <v>23</v>
      </c>
      <c r="Q723" s="304">
        <f t="shared" ca="1" si="338"/>
        <v>0</v>
      </c>
      <c r="R723" s="306">
        <f t="shared" ca="1" si="339"/>
        <v>0</v>
      </c>
      <c r="S723" s="307">
        <f t="shared" ca="1" si="340"/>
        <v>5.6519999999999806</v>
      </c>
      <c r="T723" s="304">
        <f t="shared" ca="1" si="320"/>
        <v>55.446119999999816</v>
      </c>
      <c r="U723" s="311">
        <f t="shared" ca="1" si="321"/>
        <v>0</v>
      </c>
      <c r="V723" s="306">
        <f t="shared" ca="1" si="322"/>
        <v>0.8938886782686164</v>
      </c>
      <c r="W723" s="304">
        <f t="shared" ca="1" si="323"/>
        <v>17.590655526263721</v>
      </c>
      <c r="Y723" s="314" t="str">
        <f t="shared" ca="1" si="341"/>
        <v/>
      </c>
      <c r="Z723" s="315" t="str">
        <f t="shared" ca="1" si="342"/>
        <v/>
      </c>
      <c r="AA723" s="316" t="str">
        <f t="shared" ca="1" si="343"/>
        <v/>
      </c>
      <c r="AC723" s="310" t="e">
        <f t="shared" ca="1" si="344"/>
        <v>#N/A</v>
      </c>
      <c r="AD723" s="323" t="e">
        <f t="shared" ca="1" si="345"/>
        <v>#N/A</v>
      </c>
      <c r="AE723" s="324" t="e">
        <f t="shared" ca="1" si="324"/>
        <v>#N/A</v>
      </c>
      <c r="AG723" s="306">
        <f t="shared" ca="1" si="346"/>
        <v>6.5552600902890852</v>
      </c>
      <c r="AH723" s="304">
        <f t="shared" ca="1" si="347"/>
        <v>-3.071606024677374</v>
      </c>
    </row>
    <row r="724" spans="1:34" x14ac:dyDescent="0.2">
      <c r="A724" s="347">
        <f t="shared" ca="1" si="325"/>
        <v>0.1</v>
      </c>
      <c r="B724" s="304">
        <f t="shared" ca="1" si="326"/>
        <v>40.000000000000227</v>
      </c>
      <c r="D724" s="306">
        <f t="shared" ca="1" si="327"/>
        <v>-0.59327492442018481</v>
      </c>
      <c r="E724" s="307">
        <f t="shared" ca="1" si="328"/>
        <v>-6.7547805988467857</v>
      </c>
      <c r="F724" s="304">
        <f t="shared" ca="1" si="329"/>
        <v>6.7807843259097043</v>
      </c>
      <c r="G724" s="306">
        <f t="shared" ca="1" si="330"/>
        <v>20.724158043249396</v>
      </c>
      <c r="H724" s="307">
        <f t="shared" ca="1" si="331"/>
        <v>-107.7052978256352</v>
      </c>
      <c r="I724" s="304">
        <f t="shared" ca="1" si="332"/>
        <v>109.68100066242263</v>
      </c>
      <c r="J724" s="306">
        <f t="shared" ca="1" si="333"/>
        <v>1123.5029550790043</v>
      </c>
      <c r="K724" s="307">
        <f t="shared" ca="1" si="334"/>
        <v>3114.5932827135007</v>
      </c>
      <c r="L724" s="304">
        <f t="shared" ca="1" si="319"/>
        <v>3311.0346127449825</v>
      </c>
      <c r="M724" s="306">
        <f t="shared" ca="1" si="335"/>
        <v>-1.3807041737583683</v>
      </c>
      <c r="N724" s="304">
        <f t="shared" ca="1" si="336"/>
        <v>-79.108521912451977</v>
      </c>
      <c r="P724" s="310">
        <f t="shared" ca="1" si="337"/>
        <v>23</v>
      </c>
      <c r="Q724" s="304">
        <f t="shared" ca="1" si="338"/>
        <v>0</v>
      </c>
      <c r="R724" s="306">
        <f t="shared" ca="1" si="339"/>
        <v>0</v>
      </c>
      <c r="S724" s="307">
        <f t="shared" ca="1" si="340"/>
        <v>5.6519999999999806</v>
      </c>
      <c r="T724" s="304">
        <f t="shared" ca="1" si="320"/>
        <v>55.446119999999816</v>
      </c>
      <c r="U724" s="311">
        <f t="shared" ca="1" si="321"/>
        <v>0</v>
      </c>
      <c r="V724" s="306">
        <f t="shared" ca="1" si="322"/>
        <v>0.89487290456220925</v>
      </c>
      <c r="W724" s="304">
        <f t="shared" ca="1" si="323"/>
        <v>17.8212527854296</v>
      </c>
      <c r="Y724" s="314" t="str">
        <f t="shared" ca="1" si="341"/>
        <v/>
      </c>
      <c r="Z724" s="315" t="str">
        <f t="shared" ca="1" si="342"/>
        <v/>
      </c>
      <c r="AA724" s="316" t="str">
        <f t="shared" ca="1" si="343"/>
        <v/>
      </c>
      <c r="AC724" s="310">
        <f t="shared" ca="1" si="344"/>
        <v>40.000000000000227</v>
      </c>
      <c r="AD724" s="323">
        <f t="shared" ca="1" si="345"/>
        <v>1123.5029550790043</v>
      </c>
      <c r="AE724" s="324" t="e">
        <f t="shared" ca="1" si="324"/>
        <v>#N/A</v>
      </c>
      <c r="AG724" s="306">
        <f t="shared" ca="1" si="346"/>
        <v>6.5178278088078425</v>
      </c>
      <c r="AH724" s="304">
        <f t="shared" ca="1" si="347"/>
        <v>-3.1122886635286235</v>
      </c>
    </row>
    <row r="725" spans="1:34" x14ac:dyDescent="0.2">
      <c r="A725" s="347">
        <f t="shared" ca="1" si="325"/>
        <v>0.1</v>
      </c>
      <c r="B725" s="304">
        <f t="shared" ca="1" si="326"/>
        <v>40.100000000000229</v>
      </c>
      <c r="D725" s="306">
        <f t="shared" ca="1" si="327"/>
        <v>-0.59577403083649749</v>
      </c>
      <c r="E725" s="307">
        <f t="shared" ca="1" si="328"/>
        <v>-6.7137092221497543</v>
      </c>
      <c r="F725" s="304">
        <f t="shared" ca="1" si="329"/>
        <v>6.7400918551157609</v>
      </c>
      <c r="G725" s="306">
        <f t="shared" ca="1" si="330"/>
        <v>20.664580640165745</v>
      </c>
      <c r="H725" s="307">
        <f t="shared" ca="1" si="331"/>
        <v>-108.37666874785018</v>
      </c>
      <c r="I725" s="304">
        <f t="shared" ca="1" si="332"/>
        <v>110.3291766574697</v>
      </c>
      <c r="J725" s="306">
        <f t="shared" ca="1" si="333"/>
        <v>1125.572392013175</v>
      </c>
      <c r="K725" s="307">
        <f t="shared" ca="1" si="334"/>
        <v>3103.7891843848265</v>
      </c>
      <c r="L725" s="304">
        <f t="shared" ca="1" si="319"/>
        <v>3301.5784877489264</v>
      </c>
      <c r="M725" s="306">
        <f t="shared" ca="1" si="335"/>
        <v>-1.3823842319557853</v>
      </c>
      <c r="N725" s="304">
        <f t="shared" ca="1" si="336"/>
        <v>-79.204782156500329</v>
      </c>
      <c r="P725" s="310">
        <f t="shared" ca="1" si="337"/>
        <v>23</v>
      </c>
      <c r="Q725" s="304">
        <f t="shared" ca="1" si="338"/>
        <v>0</v>
      </c>
      <c r="R725" s="306">
        <f t="shared" ca="1" si="339"/>
        <v>0</v>
      </c>
      <c r="S725" s="307">
        <f t="shared" ca="1" si="340"/>
        <v>5.6519999999999806</v>
      </c>
      <c r="T725" s="304">
        <f t="shared" ca="1" si="320"/>
        <v>55.446119999999816</v>
      </c>
      <c r="U725" s="311">
        <f t="shared" ca="1" si="321"/>
        <v>0</v>
      </c>
      <c r="V725" s="306">
        <f t="shared" ca="1" si="322"/>
        <v>0.89586422746263905</v>
      </c>
      <c r="W725" s="304">
        <f t="shared" ca="1" si="323"/>
        <v>18.052485864889377</v>
      </c>
      <c r="Y725" s="314" t="str">
        <f t="shared" ca="1" si="341"/>
        <v/>
      </c>
      <c r="Z725" s="315" t="str">
        <f t="shared" ca="1" si="342"/>
        <v/>
      </c>
      <c r="AA725" s="316" t="str">
        <f t="shared" ca="1" si="343"/>
        <v/>
      </c>
      <c r="AC725" s="310" t="e">
        <f t="shared" ca="1" si="344"/>
        <v>#N/A</v>
      </c>
      <c r="AD725" s="323" t="e">
        <f t="shared" ca="1" si="345"/>
        <v>#N/A</v>
      </c>
      <c r="AE725" s="324" t="e">
        <f t="shared" ca="1" si="324"/>
        <v>#N/A</v>
      </c>
      <c r="AG725" s="306">
        <f t="shared" ca="1" si="346"/>
        <v>6.4802028776232943</v>
      </c>
      <c r="AH725" s="304">
        <f t="shared" ca="1" si="347"/>
        <v>-3.1530878955112636</v>
      </c>
    </row>
    <row r="726" spans="1:34" x14ac:dyDescent="0.2">
      <c r="A726" s="347">
        <f t="shared" ca="1" si="325"/>
        <v>0.1</v>
      </c>
      <c r="B726" s="304">
        <f t="shared" ca="1" si="326"/>
        <v>40.20000000000023</v>
      </c>
      <c r="D726" s="306">
        <f t="shared" ca="1" si="327"/>
        <v>-0.59823398268719319</v>
      </c>
      <c r="E726" s="307">
        <f t="shared" ca="1" si="328"/>
        <v>-6.6725249500888459</v>
      </c>
      <c r="F726" s="304">
        <f t="shared" ca="1" si="329"/>
        <v>6.6992890001551615</v>
      </c>
      <c r="G726" s="306">
        <f t="shared" ca="1" si="330"/>
        <v>20.604757241897026</v>
      </c>
      <c r="H726" s="307">
        <f t="shared" ca="1" si="331"/>
        <v>-109.04392124285906</v>
      </c>
      <c r="I726" s="304">
        <f t="shared" ca="1" si="332"/>
        <v>110.97356793856976</v>
      </c>
      <c r="J726" s="306">
        <f t="shared" ca="1" si="333"/>
        <v>1127.6358589072781</v>
      </c>
      <c r="K726" s="307">
        <f t="shared" ca="1" si="334"/>
        <v>3092.9181548852912</v>
      </c>
      <c r="L726" s="304">
        <f t="shared" ca="1" si="319"/>
        <v>3292.0670319895657</v>
      </c>
      <c r="M726" s="306">
        <f t="shared" ca="1" si="335"/>
        <v>-1.3840399480697545</v>
      </c>
      <c r="N726" s="304">
        <f t="shared" ca="1" si="336"/>
        <v>-79.299647701902558</v>
      </c>
      <c r="P726" s="310">
        <f t="shared" ca="1" si="337"/>
        <v>23</v>
      </c>
      <c r="Q726" s="304">
        <f t="shared" ca="1" si="338"/>
        <v>0</v>
      </c>
      <c r="R726" s="306">
        <f t="shared" ca="1" si="339"/>
        <v>0</v>
      </c>
      <c r="S726" s="307">
        <f t="shared" ca="1" si="340"/>
        <v>5.6519999999999806</v>
      </c>
      <c r="T726" s="304">
        <f t="shared" ca="1" si="320"/>
        <v>55.446119999999816</v>
      </c>
      <c r="U726" s="311">
        <f t="shared" ca="1" si="321"/>
        <v>0</v>
      </c>
      <c r="V726" s="306">
        <f t="shared" ca="1" si="322"/>
        <v>0.8968626278131977</v>
      </c>
      <c r="W726" s="304">
        <f t="shared" ca="1" si="323"/>
        <v>18.284331646659016</v>
      </c>
      <c r="Y726" s="314" t="str">
        <f t="shared" ca="1" si="341"/>
        <v/>
      </c>
      <c r="Z726" s="315" t="str">
        <f t="shared" ca="1" si="342"/>
        <v/>
      </c>
      <c r="AA726" s="316" t="str">
        <f t="shared" ca="1" si="343"/>
        <v/>
      </c>
      <c r="AC726" s="310" t="e">
        <f t="shared" ca="1" si="344"/>
        <v>#N/A</v>
      </c>
      <c r="AD726" s="323" t="e">
        <f t="shared" ca="1" si="345"/>
        <v>#N/A</v>
      </c>
      <c r="AE726" s="324" t="e">
        <f t="shared" ca="1" si="324"/>
        <v>#N/A</v>
      </c>
      <c r="AG726" s="306">
        <f t="shared" ca="1" si="346"/>
        <v>6.4423916989549541</v>
      </c>
      <c r="AH726" s="304">
        <f t="shared" ca="1" si="347"/>
        <v>-3.1939996222380467</v>
      </c>
    </row>
    <row r="727" spans="1:34" x14ac:dyDescent="0.2">
      <c r="A727" s="347">
        <f t="shared" ca="1" si="325"/>
        <v>0.1</v>
      </c>
      <c r="B727" s="304">
        <f t="shared" ca="1" si="326"/>
        <v>40.300000000000232</v>
      </c>
      <c r="D727" s="306">
        <f t="shared" ca="1" si="327"/>
        <v>-0.60065471383293123</v>
      </c>
      <c r="E727" s="307">
        <f t="shared" ca="1" si="328"/>
        <v>-6.6312318863835369</v>
      </c>
      <c r="F727" s="304">
        <f t="shared" ca="1" si="329"/>
        <v>6.6583798642191843</v>
      </c>
      <c r="G727" s="306">
        <f t="shared" ca="1" si="330"/>
        <v>20.544691770513733</v>
      </c>
      <c r="H727" s="307">
        <f t="shared" ca="1" si="331"/>
        <v>-109.70704443149741</v>
      </c>
      <c r="I727" s="304">
        <f t="shared" ca="1" si="332"/>
        <v>111.61415661931045</v>
      </c>
      <c r="J727" s="306">
        <f t="shared" ca="1" si="333"/>
        <v>1129.6933313578986</v>
      </c>
      <c r="K727" s="307">
        <f t="shared" ca="1" si="334"/>
        <v>3081.9806066015735</v>
      </c>
      <c r="L727" s="304">
        <f t="shared" ca="1" si="319"/>
        <v>3282.5007970117399</v>
      </c>
      <c r="M727" s="306">
        <f t="shared" ca="1" si="335"/>
        <v>-1.3856718643347712</v>
      </c>
      <c r="N727" s="304">
        <f t="shared" ca="1" si="336"/>
        <v>-79.393149616406774</v>
      </c>
      <c r="P727" s="310">
        <f t="shared" ca="1" si="337"/>
        <v>23</v>
      </c>
      <c r="Q727" s="304">
        <f t="shared" ca="1" si="338"/>
        <v>0</v>
      </c>
      <c r="R727" s="306">
        <f t="shared" ca="1" si="339"/>
        <v>0</v>
      </c>
      <c r="S727" s="307">
        <f t="shared" ca="1" si="340"/>
        <v>5.6519999999999806</v>
      </c>
      <c r="T727" s="304">
        <f t="shared" ca="1" si="320"/>
        <v>55.446119999999816</v>
      </c>
      <c r="U727" s="311">
        <f t="shared" ca="1" si="321"/>
        <v>0</v>
      </c>
      <c r="V727" s="306">
        <f t="shared" ca="1" si="322"/>
        <v>0.89786808637148452</v>
      </c>
      <c r="W727" s="304">
        <f t="shared" ca="1" si="323"/>
        <v>18.516767062771127</v>
      </c>
      <c r="Y727" s="314" t="str">
        <f t="shared" ca="1" si="341"/>
        <v/>
      </c>
      <c r="Z727" s="315" t="str">
        <f t="shared" ca="1" si="342"/>
        <v/>
      </c>
      <c r="AA727" s="316" t="str">
        <f t="shared" ca="1" si="343"/>
        <v/>
      </c>
      <c r="AC727" s="310" t="e">
        <f t="shared" ca="1" si="344"/>
        <v>#N/A</v>
      </c>
      <c r="AD727" s="323" t="e">
        <f t="shared" ca="1" si="345"/>
        <v>#N/A</v>
      </c>
      <c r="AE727" s="324" t="e">
        <f t="shared" ca="1" si="324"/>
        <v>#N/A</v>
      </c>
      <c r="AG727" s="306">
        <f t="shared" ca="1" si="346"/>
        <v>6.4044005811423261</v>
      </c>
      <c r="AH727" s="304">
        <f t="shared" ca="1" si="347"/>
        <v>-3.2350197534782517</v>
      </c>
    </row>
    <row r="728" spans="1:34" x14ac:dyDescent="0.2">
      <c r="A728" s="347">
        <f t="shared" ca="1" si="325"/>
        <v>0.1</v>
      </c>
      <c r="B728" s="304">
        <f t="shared" ca="1" si="326"/>
        <v>40.400000000000233</v>
      </c>
      <c r="D728" s="306">
        <f t="shared" ca="1" si="327"/>
        <v>-0.60303616480848909</v>
      </c>
      <c r="E728" s="307">
        <f t="shared" ca="1" si="328"/>
        <v>-6.5898341262342344</v>
      </c>
      <c r="F728" s="304">
        <f t="shared" ca="1" si="329"/>
        <v>6.6173685425060196</v>
      </c>
      <c r="G728" s="306">
        <f t="shared" ca="1" si="330"/>
        <v>20.484388154032885</v>
      </c>
      <c r="H728" s="307">
        <f t="shared" ca="1" si="331"/>
        <v>-110.36602784412084</v>
      </c>
      <c r="I728" s="304">
        <f t="shared" ca="1" si="332"/>
        <v>112.25092543108204</v>
      </c>
      <c r="J728" s="306">
        <f t="shared" ca="1" si="333"/>
        <v>1131.744785354126</v>
      </c>
      <c r="K728" s="307">
        <f t="shared" ca="1" si="334"/>
        <v>3070.9769529877926</v>
      </c>
      <c r="L728" s="304">
        <f t="shared" ca="1" si="319"/>
        <v>3272.8803377084296</v>
      </c>
      <c r="M728" s="306">
        <f t="shared" ca="1" si="335"/>
        <v>-1.3872805071090497</v>
      </c>
      <c r="N728" s="304">
        <f t="shared" ca="1" si="336"/>
        <v>-79.485318058117144</v>
      </c>
      <c r="P728" s="310">
        <f t="shared" ca="1" si="337"/>
        <v>23</v>
      </c>
      <c r="Q728" s="304">
        <f t="shared" ca="1" si="338"/>
        <v>0</v>
      </c>
      <c r="R728" s="306">
        <f t="shared" ca="1" si="339"/>
        <v>0</v>
      </c>
      <c r="S728" s="307">
        <f t="shared" ca="1" si="340"/>
        <v>5.6519999999999806</v>
      </c>
      <c r="T728" s="304">
        <f t="shared" ca="1" si="320"/>
        <v>55.446119999999816</v>
      </c>
      <c r="U728" s="311">
        <f t="shared" ca="1" si="321"/>
        <v>0</v>
      </c>
      <c r="V728" s="306">
        <f t="shared" ca="1" si="322"/>
        <v>0.8988805838109204</v>
      </c>
      <c r="W728" s="304">
        <f t="shared" ca="1" si="323"/>
        <v>18.749769099159177</v>
      </c>
      <c r="Y728" s="314" t="str">
        <f t="shared" ca="1" si="341"/>
        <v/>
      </c>
      <c r="Z728" s="315" t="str">
        <f t="shared" ca="1" si="342"/>
        <v/>
      </c>
      <c r="AA728" s="316" t="str">
        <f t="shared" ca="1" si="343"/>
        <v/>
      </c>
      <c r="AC728" s="310" t="e">
        <f t="shared" ca="1" si="344"/>
        <v>#N/A</v>
      </c>
      <c r="AD728" s="323" t="e">
        <f t="shared" ca="1" si="345"/>
        <v>#N/A</v>
      </c>
      <c r="AE728" s="324" t="e">
        <f t="shared" ca="1" si="324"/>
        <v>#N/A</v>
      </c>
      <c r="AG728" s="306">
        <f t="shared" ca="1" si="346"/>
        <v>6.3662357417085831</v>
      </c>
      <c r="AH728" s="304">
        <f t="shared" ca="1" si="347"/>
        <v>-3.2761442078505292</v>
      </c>
    </row>
    <row r="729" spans="1:34" x14ac:dyDescent="0.2">
      <c r="A729" s="347">
        <f t="shared" ca="1" si="325"/>
        <v>0.1</v>
      </c>
      <c r="B729" s="304">
        <f t="shared" ca="1" si="326"/>
        <v>40.500000000000234</v>
      </c>
      <c r="D729" s="306">
        <f t="shared" ca="1" si="327"/>
        <v>-0.6053782827490829</v>
      </c>
      <c r="E729" s="307">
        <f t="shared" ca="1" si="328"/>
        <v>-6.5483357556150672</v>
      </c>
      <c r="F729" s="304">
        <f t="shared" ca="1" si="329"/>
        <v>6.5762591215288184</v>
      </c>
      <c r="G729" s="306">
        <f t="shared" ca="1" si="330"/>
        <v>20.423850325757975</v>
      </c>
      <c r="H729" s="307">
        <f t="shared" ca="1" si="331"/>
        <v>-111.02086141968235</v>
      </c>
      <c r="I729" s="304">
        <f t="shared" ca="1" si="332"/>
        <v>112.88385771445481</v>
      </c>
      <c r="J729" s="306">
        <f t="shared" ca="1" si="333"/>
        <v>1133.7901972781156</v>
      </c>
      <c r="K729" s="307">
        <f t="shared" ca="1" si="334"/>
        <v>3059.9076085246024</v>
      </c>
      <c r="L729" s="304">
        <f t="shared" ca="1" si="319"/>
        <v>3263.2062123241153</v>
      </c>
      <c r="M729" s="306">
        <f t="shared" ca="1" si="335"/>
        <v>-1.3888663874416067</v>
      </c>
      <c r="N729" s="304">
        <f t="shared" ca="1" si="336"/>
        <v>-79.576182307985462</v>
      </c>
      <c r="P729" s="310">
        <f t="shared" ca="1" si="337"/>
        <v>23</v>
      </c>
      <c r="Q729" s="304">
        <f t="shared" ca="1" si="338"/>
        <v>0</v>
      </c>
      <c r="R729" s="306">
        <f t="shared" ca="1" si="339"/>
        <v>0</v>
      </c>
      <c r="S729" s="307">
        <f t="shared" ca="1" si="340"/>
        <v>5.6519999999999806</v>
      </c>
      <c r="T729" s="304">
        <f t="shared" ca="1" si="320"/>
        <v>55.446119999999816</v>
      </c>
      <c r="U729" s="311">
        <f t="shared" ca="1" si="321"/>
        <v>0</v>
      </c>
      <c r="V729" s="306">
        <f t="shared" ca="1" si="322"/>
        <v>0.89990010072226279</v>
      </c>
      <c r="W729" s="304">
        <f t="shared" ca="1" si="323"/>
        <v>18.983314799508854</v>
      </c>
      <c r="Y729" s="314" t="str">
        <f t="shared" ca="1" si="341"/>
        <v/>
      </c>
      <c r="Z729" s="315" t="str">
        <f t="shared" ca="1" si="342"/>
        <v/>
      </c>
      <c r="AA729" s="316" t="str">
        <f t="shared" ca="1" si="343"/>
        <v/>
      </c>
      <c r="AC729" s="310" t="e">
        <f t="shared" ca="1" si="344"/>
        <v>#N/A</v>
      </c>
      <c r="AD729" s="323" t="e">
        <f t="shared" ca="1" si="345"/>
        <v>#N/A</v>
      </c>
      <c r="AE729" s="324" t="e">
        <f t="shared" ca="1" si="324"/>
        <v>#N/A</v>
      </c>
      <c r="AG729" s="306">
        <f t="shared" ca="1" si="346"/>
        <v>6.3279033102414548</v>
      </c>
      <c r="AH729" s="304">
        <f t="shared" ca="1" si="347"/>
        <v>-3.3173689135101276</v>
      </c>
    </row>
    <row r="730" spans="1:34" x14ac:dyDescent="0.2">
      <c r="A730" s="347">
        <f t="shared" ca="1" si="325"/>
        <v>0.1</v>
      </c>
      <c r="B730" s="304">
        <f t="shared" ca="1" si="326"/>
        <v>40.600000000000236</v>
      </c>
      <c r="D730" s="306">
        <f t="shared" ca="1" si="327"/>
        <v>-0.60768102131767443</v>
      </c>
      <c r="E730" s="307">
        <f t="shared" ca="1" si="328"/>
        <v>-6.5067408505733466</v>
      </c>
      <c r="F730" s="304">
        <f t="shared" ca="1" si="329"/>
        <v>6.5350556784307248</v>
      </c>
      <c r="G730" s="306">
        <f t="shared" ca="1" si="330"/>
        <v>20.363082223626208</v>
      </c>
      <c r="H730" s="307">
        <f t="shared" ca="1" si="331"/>
        <v>-111.67153550473968</v>
      </c>
      <c r="I730" s="304">
        <f t="shared" ca="1" si="332"/>
        <v>113.51293741081894</v>
      </c>
      <c r="J730" s="306">
        <f t="shared" ca="1" si="333"/>
        <v>1135.8295439055848</v>
      </c>
      <c r="K730" s="307">
        <f t="shared" ca="1" si="334"/>
        <v>3048.7729886783814</v>
      </c>
      <c r="L730" s="304">
        <f t="shared" ca="1" si="319"/>
        <v>3253.478982459189</v>
      </c>
      <c r="M730" s="306">
        <f t="shared" ca="1" si="335"/>
        <v>-1.3904300016155933</v>
      </c>
      <c r="N730" s="304">
        <f t="shared" ca="1" si="336"/>
        <v>-79.665770800941729</v>
      </c>
      <c r="P730" s="310">
        <f t="shared" ca="1" si="337"/>
        <v>23</v>
      </c>
      <c r="Q730" s="304">
        <f t="shared" ca="1" si="338"/>
        <v>0</v>
      </c>
      <c r="R730" s="306">
        <f t="shared" ca="1" si="339"/>
        <v>0</v>
      </c>
      <c r="S730" s="307">
        <f t="shared" ca="1" si="340"/>
        <v>5.6519999999999806</v>
      </c>
      <c r="T730" s="304">
        <f t="shared" ca="1" si="320"/>
        <v>55.446119999999816</v>
      </c>
      <c r="U730" s="311">
        <f t="shared" ca="1" si="321"/>
        <v>0</v>
      </c>
      <c r="V730" s="306">
        <f t="shared" ca="1" si="322"/>
        <v>0.90092661761512993</v>
      </c>
      <c r="W730" s="304">
        <f t="shared" ca="1" si="323"/>
        <v>19.217381269075627</v>
      </c>
      <c r="Y730" s="314" t="str">
        <f t="shared" ca="1" si="341"/>
        <v/>
      </c>
      <c r="Z730" s="315" t="str">
        <f t="shared" ca="1" si="342"/>
        <v/>
      </c>
      <c r="AA730" s="316" t="str">
        <f t="shared" ca="1" si="343"/>
        <v/>
      </c>
      <c r="AC730" s="310" t="e">
        <f t="shared" ca="1" si="344"/>
        <v>#N/A</v>
      </c>
      <c r="AD730" s="323" t="e">
        <f t="shared" ca="1" si="345"/>
        <v>#N/A</v>
      </c>
      <c r="AE730" s="324" t="e">
        <f t="shared" ca="1" si="324"/>
        <v>#N/A</v>
      </c>
      <c r="AG730" s="306">
        <f t="shared" ca="1" si="346"/>
        <v>6.2894093311020995</v>
      </c>
      <c r="AH730" s="304">
        <f t="shared" ca="1" si="347"/>
        <v>-3.3586898088303112</v>
      </c>
    </row>
    <row r="731" spans="1:34" x14ac:dyDescent="0.2">
      <c r="A731" s="347">
        <f t="shared" ca="1" si="325"/>
        <v>0.1</v>
      </c>
      <c r="B731" s="304">
        <f t="shared" ca="1" si="326"/>
        <v>40.700000000000237</v>
      </c>
      <c r="D731" s="306">
        <f t="shared" ca="1" si="327"/>
        <v>-0.60994434063318892</v>
      </c>
      <c r="E731" s="307">
        <f t="shared" ca="1" si="328"/>
        <v>-6.4650534765357994</v>
      </c>
      <c r="F731" s="304">
        <f t="shared" ca="1" si="329"/>
        <v>6.493762280307009</v>
      </c>
      <c r="G731" s="306">
        <f t="shared" ca="1" si="330"/>
        <v>20.30208778956289</v>
      </c>
      <c r="H731" s="307">
        <f t="shared" ca="1" si="331"/>
        <v>-112.31804085239327</v>
      </c>
      <c r="I731" s="304">
        <f t="shared" ca="1" si="332"/>
        <v>114.13814905427108</v>
      </c>
      <c r="J731" s="306">
        <f t="shared" ca="1" si="333"/>
        <v>1137.8628024062443</v>
      </c>
      <c r="K731" s="307">
        <f t="shared" ca="1" si="334"/>
        <v>3037.5735098605246</v>
      </c>
      <c r="L731" s="304">
        <f t="shared" ca="1" si="319"/>
        <v>3243.6992130754325</v>
      </c>
      <c r="M731" s="306">
        <f t="shared" ca="1" si="335"/>
        <v>-1.3919718316690108</v>
      </c>
      <c r="N731" s="304">
        <f t="shared" ca="1" si="336"/>
        <v>-79.754111155728992</v>
      </c>
      <c r="P731" s="310">
        <f t="shared" ca="1" si="337"/>
        <v>23</v>
      </c>
      <c r="Q731" s="304">
        <f t="shared" ca="1" si="338"/>
        <v>0</v>
      </c>
      <c r="R731" s="306">
        <f t="shared" ca="1" si="339"/>
        <v>0</v>
      </c>
      <c r="S731" s="307">
        <f t="shared" ca="1" si="340"/>
        <v>5.6519999999999806</v>
      </c>
      <c r="T731" s="304">
        <f t="shared" ca="1" si="320"/>
        <v>55.446119999999816</v>
      </c>
      <c r="U731" s="311">
        <f t="shared" ca="1" si="321"/>
        <v>0</v>
      </c>
      <c r="V731" s="306">
        <f t="shared" ca="1" si="322"/>
        <v>0.90196011491952732</v>
      </c>
      <c r="W731" s="304">
        <f t="shared" ca="1" si="323"/>
        <v>19.451945678467538</v>
      </c>
      <c r="Y731" s="314" t="str">
        <f t="shared" ca="1" si="341"/>
        <v/>
      </c>
      <c r="Z731" s="315" t="str">
        <f t="shared" ca="1" si="342"/>
        <v/>
      </c>
      <c r="AA731" s="316" t="str">
        <f t="shared" ca="1" si="343"/>
        <v/>
      </c>
      <c r="AC731" s="310" t="e">
        <f t="shared" ca="1" si="344"/>
        <v>#N/A</v>
      </c>
      <c r="AD731" s="323" t="e">
        <f t="shared" ca="1" si="345"/>
        <v>#N/A</v>
      </c>
      <c r="AE731" s="324" t="e">
        <f t="shared" ca="1" si="324"/>
        <v>#N/A</v>
      </c>
      <c r="AG731" s="306">
        <f t="shared" ca="1" si="346"/>
        <v>6.250759765972127</v>
      </c>
      <c r="AH731" s="304">
        <f t="shared" ca="1" si="347"/>
        <v>-3.4001028430777942</v>
      </c>
    </row>
    <row r="732" spans="1:34" x14ac:dyDescent="0.2">
      <c r="A732" s="347">
        <f t="shared" ca="1" si="325"/>
        <v>0.1</v>
      </c>
      <c r="B732" s="304">
        <f t="shared" ca="1" si="326"/>
        <v>40.800000000000239</v>
      </c>
      <c r="D732" s="306">
        <f t="shared" ca="1" si="327"/>
        <v>-0.61216820719954945</v>
      </c>
      <c r="E732" s="307">
        <f t="shared" ca="1" si="328"/>
        <v>-6.4232776876217184</v>
      </c>
      <c r="F732" s="304">
        <f t="shared" ca="1" si="329"/>
        <v>6.4523829835344495</v>
      </c>
      <c r="G732" s="306">
        <f t="shared" ca="1" si="330"/>
        <v>20.240870968842934</v>
      </c>
      <c r="H732" s="307">
        <f t="shared" ca="1" si="331"/>
        <v>-112.96036862115544</v>
      </c>
      <c r="I732" s="304">
        <f t="shared" ca="1" si="332"/>
        <v>114.75947776373273</v>
      </c>
      <c r="J732" s="306">
        <f t="shared" ca="1" si="333"/>
        <v>1139.8899503441646</v>
      </c>
      <c r="K732" s="307">
        <f t="shared" ca="1" si="334"/>
        <v>3026.3095893868472</v>
      </c>
      <c r="L732" s="304">
        <f t="shared" ca="1" si="319"/>
        <v>3233.8674725026085</v>
      </c>
      <c r="M732" s="306">
        <f t="shared" ca="1" si="335"/>
        <v>-1.3934923458938817</v>
      </c>
      <c r="N732" s="304">
        <f t="shared" ca="1" si="336"/>
        <v>-79.841230203503699</v>
      </c>
      <c r="P732" s="310">
        <f t="shared" ca="1" si="337"/>
        <v>23</v>
      </c>
      <c r="Q732" s="304">
        <f t="shared" ca="1" si="338"/>
        <v>0</v>
      </c>
      <c r="R732" s="306">
        <f t="shared" ca="1" si="339"/>
        <v>0</v>
      </c>
      <c r="S732" s="307">
        <f t="shared" ca="1" si="340"/>
        <v>5.6519999999999806</v>
      </c>
      <c r="T732" s="304">
        <f t="shared" ca="1" si="320"/>
        <v>55.446119999999816</v>
      </c>
      <c r="U732" s="311">
        <f t="shared" ca="1" si="321"/>
        <v>0</v>
      </c>
      <c r="V732" s="306">
        <f t="shared" ca="1" si="322"/>
        <v>0.90300057298737924</v>
      </c>
      <c r="W732" s="304">
        <f t="shared" ca="1" si="323"/>
        <v>19.686985267392025</v>
      </c>
      <c r="Y732" s="314" t="str">
        <f t="shared" ca="1" si="341"/>
        <v/>
      </c>
      <c r="Z732" s="315" t="str">
        <f t="shared" ca="1" si="342"/>
        <v/>
      </c>
      <c r="AA732" s="316" t="str">
        <f t="shared" ca="1" si="343"/>
        <v/>
      </c>
      <c r="AC732" s="310" t="e">
        <f t="shared" ca="1" si="344"/>
        <v>#N/A</v>
      </c>
      <c r="AD732" s="323" t="e">
        <f t="shared" ca="1" si="345"/>
        <v>#N/A</v>
      </c>
      <c r="AE732" s="324" t="e">
        <f t="shared" ca="1" si="324"/>
        <v>#N/A</v>
      </c>
      <c r="AG732" s="306">
        <f t="shared" ca="1" si="346"/>
        <v>6.2119604962481727</v>
      </c>
      <c r="AH732" s="304">
        <f t="shared" ca="1" si="347"/>
        <v>-3.4416039770820248</v>
      </c>
    </row>
    <row r="733" spans="1:34" x14ac:dyDescent="0.2">
      <c r="A733" s="347">
        <f t="shared" ca="1" si="325"/>
        <v>0.1</v>
      </c>
      <c r="B733" s="304">
        <f t="shared" ca="1" si="326"/>
        <v>40.90000000000024</v>
      </c>
      <c r="D733" s="306">
        <f t="shared" ca="1" si="327"/>
        <v>-0.61435259383545027</v>
      </c>
      <c r="E733" s="307">
        <f t="shared" ca="1" si="328"/>
        <v>-6.3814175259631858</v>
      </c>
      <c r="F733" s="304">
        <f t="shared" ca="1" si="329"/>
        <v>6.4109218331081257</v>
      </c>
      <c r="G733" s="306">
        <f t="shared" ca="1" si="330"/>
        <v>20.179435709459391</v>
      </c>
      <c r="H733" s="307">
        <f t="shared" ca="1" si="331"/>
        <v>-113.59851037375176</v>
      </c>
      <c r="I733" s="304">
        <f t="shared" ca="1" si="332"/>
        <v>115.37690923528673</v>
      </c>
      <c r="J733" s="306">
        <f t="shared" ca="1" si="333"/>
        <v>1141.9109656780797</v>
      </c>
      <c r="K733" s="307">
        <f t="shared" ca="1" si="334"/>
        <v>3014.9816454371016</v>
      </c>
      <c r="L733" s="304">
        <f t="shared" ca="1" si="319"/>
        <v>3223.9843324461826</v>
      </c>
      <c r="M733" s="306">
        <f t="shared" ca="1" si="335"/>
        <v>-1.3949919993148916</v>
      </c>
      <c r="N733" s="304">
        <f t="shared" ca="1" si="336"/>
        <v>-79.927154015259916</v>
      </c>
      <c r="P733" s="310">
        <f t="shared" ca="1" si="337"/>
        <v>23</v>
      </c>
      <c r="Q733" s="304">
        <f t="shared" ca="1" si="338"/>
        <v>0</v>
      </c>
      <c r="R733" s="306">
        <f t="shared" ca="1" si="339"/>
        <v>0</v>
      </c>
      <c r="S733" s="307">
        <f t="shared" ca="1" si="340"/>
        <v>5.6519999999999806</v>
      </c>
      <c r="T733" s="304">
        <f t="shared" ca="1" si="320"/>
        <v>55.446119999999816</v>
      </c>
      <c r="U733" s="311">
        <f t="shared" ca="1" si="321"/>
        <v>0</v>
      </c>
      <c r="V733" s="306">
        <f t="shared" ca="1" si="322"/>
        <v>0.90404797209406551</v>
      </c>
      <c r="W733" s="304">
        <f t="shared" ca="1" si="323"/>
        <v>19.922477348366112</v>
      </c>
      <c r="Y733" s="314" t="str">
        <f t="shared" ca="1" si="341"/>
        <v/>
      </c>
      <c r="Z733" s="315" t="str">
        <f t="shared" ca="1" si="342"/>
        <v/>
      </c>
      <c r="AA733" s="316" t="str">
        <f t="shared" ca="1" si="343"/>
        <v/>
      </c>
      <c r="AC733" s="310" t="e">
        <f t="shared" ca="1" si="344"/>
        <v>#N/A</v>
      </c>
      <c r="AD733" s="323" t="e">
        <f t="shared" ca="1" si="345"/>
        <v>#N/A</v>
      </c>
      <c r="AE733" s="324" t="e">
        <f t="shared" ca="1" si="324"/>
        <v>#N/A</v>
      </c>
      <c r="AG733" s="306">
        <f t="shared" ca="1" si="346"/>
        <v>6.1730173252930634</v>
      </c>
      <c r="AH733" s="304">
        <f t="shared" ca="1" si="347"/>
        <v>-3.4831891838981055</v>
      </c>
    </row>
    <row r="734" spans="1:34" x14ac:dyDescent="0.2">
      <c r="A734" s="347">
        <f t="shared" ca="1" si="325"/>
        <v>0.1</v>
      </c>
      <c r="B734" s="304">
        <f t="shared" ca="1" si="326"/>
        <v>41.000000000000242</v>
      </c>
      <c r="D734" s="306">
        <f t="shared" ca="1" si="327"/>
        <v>-0.61649747960479195</v>
      </c>
      <c r="E734" s="307">
        <f t="shared" ca="1" si="328"/>
        <v>-6.3394770210324687</v>
      </c>
      <c r="F734" s="304">
        <f t="shared" ca="1" si="329"/>
        <v>6.3693828619857484</v>
      </c>
      <c r="G734" s="306">
        <f t="shared" ca="1" si="330"/>
        <v>20.11778596149891</v>
      </c>
      <c r="H734" s="307">
        <f t="shared" ca="1" si="331"/>
        <v>-114.23245807585501</v>
      </c>
      <c r="I734" s="304">
        <f t="shared" ca="1" si="332"/>
        <v>115.99042973471843</v>
      </c>
      <c r="J734" s="306">
        <f t="shared" ca="1" si="333"/>
        <v>1143.9258267616276</v>
      </c>
      <c r="K734" s="307">
        <f t="shared" ca="1" si="334"/>
        <v>3003.5900970146213</v>
      </c>
      <c r="L734" s="304">
        <f t="shared" ca="1" si="319"/>
        <v>3214.0503679962108</v>
      </c>
      <c r="M734" s="306">
        <f t="shared" ca="1" si="335"/>
        <v>-1.3964712341484651</v>
      </c>
      <c r="N734" s="304">
        <f t="shared" ca="1" si="336"/>
        <v>-80.011907928132416</v>
      </c>
      <c r="P734" s="310">
        <f t="shared" ca="1" si="337"/>
        <v>23</v>
      </c>
      <c r="Q734" s="304">
        <f t="shared" ca="1" si="338"/>
        <v>0</v>
      </c>
      <c r="R734" s="306">
        <f t="shared" ca="1" si="339"/>
        <v>0</v>
      </c>
      <c r="S734" s="307">
        <f t="shared" ca="1" si="340"/>
        <v>5.6519999999999806</v>
      </c>
      <c r="T734" s="304">
        <f t="shared" ca="1" si="320"/>
        <v>55.446119999999816</v>
      </c>
      <c r="U734" s="311">
        <f t="shared" ca="1" si="321"/>
        <v>0</v>
      </c>
      <c r="V734" s="306">
        <f t="shared" ca="1" si="322"/>
        <v>0.90510229243995977</v>
      </c>
      <c r="W734" s="304">
        <f t="shared" ca="1" si="323"/>
        <v>20.158399310388646</v>
      </c>
      <c r="Y734" s="314" t="str">
        <f t="shared" ca="1" si="341"/>
        <v/>
      </c>
      <c r="Z734" s="315" t="str">
        <f t="shared" ca="1" si="342"/>
        <v/>
      </c>
      <c r="AA734" s="316" t="str">
        <f t="shared" ca="1" si="343"/>
        <v/>
      </c>
      <c r="AC734" s="310">
        <f t="shared" ca="1" si="344"/>
        <v>41.000000000000242</v>
      </c>
      <c r="AD734" s="323">
        <f t="shared" ca="1" si="345"/>
        <v>1143.9258267616276</v>
      </c>
      <c r="AE734" s="324" t="e">
        <f t="shared" ca="1" si="324"/>
        <v>#N/A</v>
      </c>
      <c r="AG734" s="306">
        <f t="shared" ca="1" si="346"/>
        <v>6.1339359805518399</v>
      </c>
      <c r="AH734" s="304">
        <f t="shared" ca="1" si="347"/>
        <v>-3.5248544494632306</v>
      </c>
    </row>
    <row r="735" spans="1:34" x14ac:dyDescent="0.2">
      <c r="A735" s="347">
        <f t="shared" ca="1" si="325"/>
        <v>0.1</v>
      </c>
      <c r="B735" s="304">
        <f t="shared" ca="1" si="326"/>
        <v>41.100000000000243</v>
      </c>
      <c r="D735" s="306">
        <f t="shared" ca="1" si="327"/>
        <v>-0.61860284974770707</v>
      </c>
      <c r="E735" s="307">
        <f t="shared" ca="1" si="328"/>
        <v>-6.2974601889767605</v>
      </c>
      <c r="F735" s="304">
        <f t="shared" ca="1" si="329"/>
        <v>6.3277700904396958</v>
      </c>
      <c r="G735" s="306">
        <f t="shared" ca="1" si="330"/>
        <v>20.05592567652414</v>
      </c>
      <c r="H735" s="307">
        <f t="shared" ca="1" si="331"/>
        <v>-114.86220409475268</v>
      </c>
      <c r="I735" s="304">
        <f t="shared" ca="1" si="332"/>
        <v>116.60002609024957</v>
      </c>
      <c r="J735" s="306">
        <f t="shared" ca="1" si="333"/>
        <v>1145.9345123435287</v>
      </c>
      <c r="K735" s="307">
        <f t="shared" ca="1" si="334"/>
        <v>2992.1353639060908</v>
      </c>
      <c r="L735" s="304">
        <f t="shared" ca="1" si="319"/>
        <v>3204.0661576374223</v>
      </c>
      <c r="M735" s="306">
        <f t="shared" ca="1" si="335"/>
        <v>-1.3979304802431878</v>
      </c>
      <c r="N735" s="304">
        <f t="shared" ca="1" si="336"/>
        <v>-80.095516570630977</v>
      </c>
      <c r="P735" s="310">
        <f t="shared" ca="1" si="337"/>
        <v>23</v>
      </c>
      <c r="Q735" s="304">
        <f t="shared" ca="1" si="338"/>
        <v>0</v>
      </c>
      <c r="R735" s="306">
        <f t="shared" ca="1" si="339"/>
        <v>0</v>
      </c>
      <c r="S735" s="307">
        <f t="shared" ca="1" si="340"/>
        <v>5.6519999999999806</v>
      </c>
      <c r="T735" s="304">
        <f t="shared" ca="1" si="320"/>
        <v>55.446119999999816</v>
      </c>
      <c r="U735" s="311">
        <f t="shared" ca="1" si="321"/>
        <v>0</v>
      </c>
      <c r="V735" s="306">
        <f t="shared" ca="1" si="322"/>
        <v>0.90616351415197494</v>
      </c>
      <c r="W735" s="304">
        <f t="shared" ca="1" si="323"/>
        <v>20.394728622574011</v>
      </c>
      <c r="Y735" s="314" t="str">
        <f t="shared" ca="1" si="341"/>
        <v/>
      </c>
      <c r="Z735" s="315" t="str">
        <f t="shared" ca="1" si="342"/>
        <v/>
      </c>
      <c r="AA735" s="316" t="str">
        <f t="shared" ca="1" si="343"/>
        <v/>
      </c>
      <c r="AC735" s="310" t="e">
        <f t="shared" ca="1" si="344"/>
        <v>#N/A</v>
      </c>
      <c r="AD735" s="323" t="e">
        <f t="shared" ca="1" si="345"/>
        <v>#N/A</v>
      </c>
      <c r="AE735" s="324" t="e">
        <f t="shared" ca="1" si="324"/>
        <v>#N/A</v>
      </c>
      <c r="AG735" s="306">
        <f t="shared" ca="1" si="346"/>
        <v>6.0947221155406837</v>
      </c>
      <c r="AH735" s="304">
        <f t="shared" ca="1" si="347"/>
        <v>-3.5665957732464109</v>
      </c>
    </row>
    <row r="736" spans="1:34" x14ac:dyDescent="0.2">
      <c r="A736" s="347">
        <f t="shared" ca="1" si="325"/>
        <v>0.1</v>
      </c>
      <c r="B736" s="304">
        <f t="shared" ca="1" si="326"/>
        <v>41.200000000000244</v>
      </c>
      <c r="D736" s="306">
        <f t="shared" ca="1" si="327"/>
        <v>-0.62066869561211446</v>
      </c>
      <c r="E736" s="307">
        <f t="shared" ca="1" si="328"/>
        <v>-6.2553710319603635</v>
      </c>
      <c r="F736" s="304">
        <f t="shared" ca="1" si="329"/>
        <v>6.28608752541688</v>
      </c>
      <c r="G736" s="306">
        <f t="shared" ca="1" si="330"/>
        <v>19.99385880696293</v>
      </c>
      <c r="H736" s="307">
        <f t="shared" ca="1" si="331"/>
        <v>-115.48774119794872</v>
      </c>
      <c r="I736" s="304">
        <f t="shared" ca="1" si="332"/>
        <v>117.20568568545278</v>
      </c>
      <c r="J736" s="306">
        <f t="shared" ca="1" si="333"/>
        <v>1147.937001567703</v>
      </c>
      <c r="K736" s="307">
        <f t="shared" ca="1" si="334"/>
        <v>2980.6178666414557</v>
      </c>
      <c r="L736" s="304">
        <f t="shared" ca="1" si="319"/>
        <v>3194.0322832605357</v>
      </c>
      <c r="M736" s="306">
        <f t="shared" ca="1" si="335"/>
        <v>-1.3993701555024369</v>
      </c>
      <c r="N736" s="304">
        <f t="shared" ca="1" si="336"/>
        <v>-80.17800388685535</v>
      </c>
      <c r="P736" s="310">
        <f t="shared" ca="1" si="337"/>
        <v>23</v>
      </c>
      <c r="Q736" s="304">
        <f t="shared" ca="1" si="338"/>
        <v>0</v>
      </c>
      <c r="R736" s="306">
        <f t="shared" ca="1" si="339"/>
        <v>0</v>
      </c>
      <c r="S736" s="307">
        <f t="shared" ca="1" si="340"/>
        <v>5.6519999999999806</v>
      </c>
      <c r="T736" s="304">
        <f t="shared" ca="1" si="320"/>
        <v>55.446119999999816</v>
      </c>
      <c r="U736" s="311">
        <f t="shared" ca="1" si="321"/>
        <v>0</v>
      </c>
      <c r="V736" s="306">
        <f t="shared" ca="1" si="322"/>
        <v>0.9072316172851097</v>
      </c>
      <c r="W736" s="304">
        <f t="shared" ca="1" si="323"/>
        <v>20.631442837746064</v>
      </c>
      <c r="Y736" s="314" t="str">
        <f t="shared" ca="1" si="341"/>
        <v/>
      </c>
      <c r="Z736" s="315" t="str">
        <f t="shared" ca="1" si="342"/>
        <v/>
      </c>
      <c r="AA736" s="316" t="str">
        <f t="shared" ca="1" si="343"/>
        <v/>
      </c>
      <c r="AC736" s="310" t="e">
        <f t="shared" ca="1" si="344"/>
        <v>#N/A</v>
      </c>
      <c r="AD736" s="323" t="e">
        <f t="shared" ca="1" si="345"/>
        <v>#N/A</v>
      </c>
      <c r="AE736" s="324" t="e">
        <f t="shared" ca="1" si="324"/>
        <v>#N/A</v>
      </c>
      <c r="AG736" s="306">
        <f t="shared" ca="1" si="346"/>
        <v>6.0553813117159825</v>
      </c>
      <c r="AH736" s="304">
        <f t="shared" ca="1" si="347"/>
        <v>-3.60840916889138</v>
      </c>
    </row>
    <row r="737" spans="1:34" x14ac:dyDescent="0.2">
      <c r="A737" s="347">
        <f t="shared" ca="1" si="325"/>
        <v>0.1</v>
      </c>
      <c r="B737" s="304">
        <f t="shared" ca="1" si="326"/>
        <v>41.300000000000246</v>
      </c>
      <c r="D737" s="306">
        <f t="shared" ca="1" si="327"/>
        <v>-0.62269501458574283</v>
      </c>
      <c r="E737" s="307">
        <f t="shared" ca="1" si="328"/>
        <v>-6.2132135375144788</v>
      </c>
      <c r="F737" s="304">
        <f t="shared" ca="1" si="329"/>
        <v>6.2443391599066045</v>
      </c>
      <c r="G737" s="306">
        <f t="shared" ca="1" si="330"/>
        <v>19.931589305504357</v>
      </c>
      <c r="H737" s="307">
        <f t="shared" ca="1" si="331"/>
        <v>-116.10906255170018</v>
      </c>
      <c r="I737" s="304">
        <f t="shared" ca="1" si="332"/>
        <v>117.80739645233622</v>
      </c>
      <c r="J737" s="306">
        <f t="shared" ca="1" si="333"/>
        <v>1149.9332739733263</v>
      </c>
      <c r="K737" s="307">
        <f t="shared" ca="1" si="334"/>
        <v>2969.0380264539731</v>
      </c>
      <c r="L737" s="304">
        <f t="shared" ca="1" si="319"/>
        <v>3183.9493301748253</v>
      </c>
      <c r="M737" s="306">
        <f t="shared" ca="1" si="335"/>
        <v>-1.4007906662900449</v>
      </c>
      <c r="N737" s="304">
        <f t="shared" ca="1" si="336"/>
        <v>-80.259393159738096</v>
      </c>
      <c r="P737" s="310">
        <f t="shared" ca="1" si="337"/>
        <v>23</v>
      </c>
      <c r="Q737" s="304">
        <f t="shared" ca="1" si="338"/>
        <v>0</v>
      </c>
      <c r="R737" s="306">
        <f t="shared" ca="1" si="339"/>
        <v>0</v>
      </c>
      <c r="S737" s="307">
        <f t="shared" ca="1" si="340"/>
        <v>5.6519999999999806</v>
      </c>
      <c r="T737" s="304">
        <f t="shared" ca="1" si="320"/>
        <v>55.446119999999816</v>
      </c>
      <c r="U737" s="311">
        <f t="shared" ca="1" si="321"/>
        <v>0</v>
      </c>
      <c r="V737" s="306">
        <f t="shared" ca="1" si="322"/>
        <v>0.90830658182399981</v>
      </c>
      <c r="W737" s="304">
        <f t="shared" ca="1" si="323"/>
        <v>20.86851959599165</v>
      </c>
      <c r="Y737" s="314" t="str">
        <f t="shared" ca="1" si="341"/>
        <v/>
      </c>
      <c r="Z737" s="315" t="str">
        <f t="shared" ca="1" si="342"/>
        <v/>
      </c>
      <c r="AA737" s="316" t="str">
        <f t="shared" ca="1" si="343"/>
        <v/>
      </c>
      <c r="AC737" s="310" t="e">
        <f t="shared" ca="1" si="344"/>
        <v>#N/A</v>
      </c>
      <c r="AD737" s="323" t="e">
        <f t="shared" ca="1" si="345"/>
        <v>#N/A</v>
      </c>
      <c r="AE737" s="324" t="e">
        <f t="shared" ca="1" si="324"/>
        <v>#N/A</v>
      </c>
      <c r="AG737" s="306">
        <f t="shared" ca="1" si="346"/>
        <v>6.0159190802306908</v>
      </c>
      <c r="AH737" s="304">
        <f t="shared" ca="1" si="347"/>
        <v>-3.6502906648524656</v>
      </c>
    </row>
    <row r="738" spans="1:34" x14ac:dyDescent="0.2">
      <c r="A738" s="347">
        <f t="shared" ca="1" si="325"/>
        <v>0.1</v>
      </c>
      <c r="B738" s="304">
        <f t="shared" ca="1" si="326"/>
        <v>41.400000000000247</v>
      </c>
      <c r="D738" s="306">
        <f t="shared" ca="1" si="327"/>
        <v>-0.62468181002855883</v>
      </c>
      <c r="E738" s="307">
        <f t="shared" ca="1" si="328"/>
        <v>-6.1709916778947056</v>
      </c>
      <c r="F738" s="304">
        <f t="shared" ca="1" si="329"/>
        <v>6.2025289723165553</v>
      </c>
      <c r="G738" s="306">
        <f t="shared" ca="1" si="330"/>
        <v>19.8691211245015</v>
      </c>
      <c r="H738" s="307">
        <f t="shared" ca="1" si="331"/>
        <v>-116.72616171948965</v>
      </c>
      <c r="I738" s="304">
        <f t="shared" ca="1" si="332"/>
        <v>118.40514686458762</v>
      </c>
      <c r="J738" s="306">
        <f t="shared" ca="1" si="333"/>
        <v>1151.9233094948265</v>
      </c>
      <c r="K738" s="307">
        <f t="shared" ca="1" si="334"/>
        <v>2957.3962652404134</v>
      </c>
      <c r="L738" s="304">
        <f t="shared" ca="1" si="319"/>
        <v>3173.8178871219848</v>
      </c>
      <c r="M738" s="306">
        <f t="shared" ca="1" si="335"/>
        <v>-1.4021924078197685</v>
      </c>
      <c r="N738" s="304">
        <f t="shared" ca="1" si="336"/>
        <v>-80.33970703335946</v>
      </c>
      <c r="P738" s="310">
        <f t="shared" ca="1" si="337"/>
        <v>23</v>
      </c>
      <c r="Q738" s="304">
        <f t="shared" ca="1" si="338"/>
        <v>0</v>
      </c>
      <c r="R738" s="306">
        <f t="shared" ca="1" si="339"/>
        <v>0</v>
      </c>
      <c r="S738" s="307">
        <f t="shared" ca="1" si="340"/>
        <v>5.6519999999999806</v>
      </c>
      <c r="T738" s="304">
        <f t="shared" ca="1" si="320"/>
        <v>55.446119999999816</v>
      </c>
      <c r="U738" s="311">
        <f t="shared" ca="1" si="321"/>
        <v>0</v>
      </c>
      <c r="V738" s="306">
        <f t="shared" ca="1" si="322"/>
        <v>0.90938838768447172</v>
      </c>
      <c r="W738" s="304">
        <f t="shared" ca="1" si="323"/>
        <v>21.105936628172611</v>
      </c>
      <c r="Y738" s="314" t="str">
        <f t="shared" ca="1" si="341"/>
        <v/>
      </c>
      <c r="Z738" s="315" t="str">
        <f t="shared" ca="1" si="342"/>
        <v/>
      </c>
      <c r="AA738" s="316" t="str">
        <f t="shared" ca="1" si="343"/>
        <v/>
      </c>
      <c r="AC738" s="310" t="e">
        <f t="shared" ca="1" si="344"/>
        <v>#N/A</v>
      </c>
      <c r="AD738" s="323" t="e">
        <f t="shared" ca="1" si="345"/>
        <v>#N/A</v>
      </c>
      <c r="AE738" s="324" t="e">
        <f t="shared" ca="1" si="324"/>
        <v>#N/A</v>
      </c>
      <c r="AG738" s="306">
        <f t="shared" ca="1" si="346"/>
        <v>5.9763408635844382</v>
      </c>
      <c r="AH738" s="304">
        <f t="shared" ca="1" si="347"/>
        <v>-3.6922363050233051</v>
      </c>
    </row>
    <row r="739" spans="1:34" x14ac:dyDescent="0.2">
      <c r="A739" s="347">
        <f t="shared" ca="1" si="325"/>
        <v>0.1</v>
      </c>
      <c r="B739" s="304">
        <f t="shared" ca="1" si="326"/>
        <v>41.500000000000249</v>
      </c>
      <c r="D739" s="306">
        <f t="shared" ca="1" si="327"/>
        <v>-0.62662909120555998</v>
      </c>
      <c r="E739" s="307">
        <f t="shared" ca="1" si="328"/>
        <v>-6.1287094094464072</v>
      </c>
      <c r="F739" s="304">
        <f t="shared" ca="1" si="329"/>
        <v>6.1606609258570657</v>
      </c>
      <c r="G739" s="306">
        <f t="shared" ca="1" si="330"/>
        <v>19.806458215380946</v>
      </c>
      <c r="H739" s="307">
        <f t="shared" ca="1" si="331"/>
        <v>-117.3390326604343</v>
      </c>
      <c r="I739" s="304">
        <f t="shared" ca="1" si="332"/>
        <v>118.99892593096838</v>
      </c>
      <c r="J739" s="306">
        <f t="shared" ca="1" si="333"/>
        <v>1153.9070884618206</v>
      </c>
      <c r="K739" s="307">
        <f t="shared" ca="1" si="334"/>
        <v>2945.693005521417</v>
      </c>
      <c r="L739" s="304">
        <f t="shared" ca="1" si="319"/>
        <v>3163.6385462913167</v>
      </c>
      <c r="M739" s="306">
        <f t="shared" ca="1" si="335"/>
        <v>-1.4035757645293063</v>
      </c>
      <c r="N739" s="304">
        <f t="shared" ca="1" si="336"/>
        <v>-80.418967534377089</v>
      </c>
      <c r="P739" s="310">
        <f t="shared" ca="1" si="337"/>
        <v>23</v>
      </c>
      <c r="Q739" s="304">
        <f t="shared" ca="1" si="338"/>
        <v>0</v>
      </c>
      <c r="R739" s="306">
        <f t="shared" ca="1" si="339"/>
        <v>0</v>
      </c>
      <c r="S739" s="307">
        <f t="shared" ca="1" si="340"/>
        <v>5.6519999999999806</v>
      </c>
      <c r="T739" s="304">
        <f t="shared" ca="1" si="320"/>
        <v>55.446119999999816</v>
      </c>
      <c r="U739" s="311">
        <f t="shared" ca="1" si="321"/>
        <v>0</v>
      </c>
      <c r="V739" s="306">
        <f t="shared" ca="1" si="322"/>
        <v>0.91047701471509879</v>
      </c>
      <c r="W739" s="304">
        <f t="shared" ca="1" si="323"/>
        <v>21.34367175939558</v>
      </c>
      <c r="Y739" s="314" t="str">
        <f t="shared" ca="1" si="341"/>
        <v/>
      </c>
      <c r="Z739" s="315" t="str">
        <f t="shared" ca="1" si="342"/>
        <v/>
      </c>
      <c r="AA739" s="316" t="str">
        <f t="shared" ca="1" si="343"/>
        <v/>
      </c>
      <c r="AC739" s="310" t="e">
        <f t="shared" ca="1" si="344"/>
        <v>#N/A</v>
      </c>
      <c r="AD739" s="323" t="e">
        <f t="shared" ca="1" si="345"/>
        <v>#N/A</v>
      </c>
      <c r="AE739" s="324" t="e">
        <f t="shared" ca="1" si="324"/>
        <v>#N/A</v>
      </c>
      <c r="AG739" s="306">
        <f t="shared" ca="1" si="346"/>
        <v>5.9366520371736549</v>
      </c>
      <c r="AH739" s="304">
        <f t="shared" ca="1" si="347"/>
        <v>-3.7342421493582241</v>
      </c>
    </row>
    <row r="740" spans="1:34" x14ac:dyDescent="0.2">
      <c r="A740" s="347">
        <f t="shared" ca="1" si="325"/>
        <v>0.1</v>
      </c>
      <c r="B740" s="304">
        <f t="shared" ca="1" si="326"/>
        <v>41.60000000000025</v>
      </c>
      <c r="D740" s="306">
        <f t="shared" ca="1" si="327"/>
        <v>-0.6285368732198735</v>
      </c>
      <c r="E740" s="307">
        <f t="shared" ca="1" si="328"/>
        <v>-6.0863706719780417</v>
      </c>
      <c r="F740" s="304">
        <f t="shared" ca="1" si="329"/>
        <v>6.1187389679337896</v>
      </c>
      <c r="G740" s="306">
        <f t="shared" ca="1" si="330"/>
        <v>19.74360452805896</v>
      </c>
      <c r="H740" s="307">
        <f t="shared" ca="1" si="331"/>
        <v>-117.9476697276321</v>
      </c>
      <c r="I740" s="304">
        <f t="shared" ca="1" si="332"/>
        <v>119.58872318884825</v>
      </c>
      <c r="J740" s="306">
        <f t="shared" ca="1" si="333"/>
        <v>1155.8845915989928</v>
      </c>
      <c r="K740" s="307">
        <f t="shared" ca="1" si="334"/>
        <v>2933.9286704020137</v>
      </c>
      <c r="L740" s="304">
        <f t="shared" ca="1" si="319"/>
        <v>3153.4119033362731</v>
      </c>
      <c r="M740" s="306">
        <f t="shared" ca="1" si="335"/>
        <v>-1.404941110439561</v>
      </c>
      <c r="N740" s="304">
        <f t="shared" ca="1" si="336"/>
        <v>-80.497196092610125</v>
      </c>
      <c r="P740" s="310">
        <f t="shared" ca="1" si="337"/>
        <v>23</v>
      </c>
      <c r="Q740" s="304">
        <f t="shared" ca="1" si="338"/>
        <v>0</v>
      </c>
      <c r="R740" s="306">
        <f t="shared" ca="1" si="339"/>
        <v>0</v>
      </c>
      <c r="S740" s="307">
        <f t="shared" ca="1" si="340"/>
        <v>5.6519999999999806</v>
      </c>
      <c r="T740" s="304">
        <f t="shared" ca="1" si="320"/>
        <v>55.446119999999816</v>
      </c>
      <c r="U740" s="311">
        <f t="shared" ca="1" si="321"/>
        <v>0</v>
      </c>
      <c r="V740" s="306">
        <f t="shared" ca="1" si="322"/>
        <v>0.91157244269876203</v>
      </c>
      <c r="W740" s="304">
        <f t="shared" ca="1" si="323"/>
        <v>21.581702912438619</v>
      </c>
      <c r="Y740" s="314" t="str">
        <f t="shared" ca="1" si="341"/>
        <v/>
      </c>
      <c r="Z740" s="315" t="str">
        <f t="shared" ca="1" si="342"/>
        <v/>
      </c>
      <c r="AA740" s="316" t="str">
        <f t="shared" ca="1" si="343"/>
        <v/>
      </c>
      <c r="AC740" s="310" t="e">
        <f t="shared" ca="1" si="344"/>
        <v>#N/A</v>
      </c>
      <c r="AD740" s="323" t="e">
        <f t="shared" ca="1" si="345"/>
        <v>#N/A</v>
      </c>
      <c r="AE740" s="324" t="e">
        <f t="shared" ca="1" si="324"/>
        <v>#N/A</v>
      </c>
      <c r="AG740" s="306">
        <f t="shared" ca="1" si="346"/>
        <v>5.8968579107474888</v>
      </c>
      <c r="AH740" s="304">
        <f t="shared" ca="1" si="347"/>
        <v>-3.7763042744861384</v>
      </c>
    </row>
    <row r="741" spans="1:34" x14ac:dyDescent="0.2">
      <c r="A741" s="347">
        <f t="shared" ca="1" si="325"/>
        <v>0.1</v>
      </c>
      <c r="B741" s="304">
        <f t="shared" ca="1" si="326"/>
        <v>41.700000000000252</v>
      </c>
      <c r="D741" s="306">
        <f t="shared" ca="1" si="327"/>
        <v>-0.63040517694612452</v>
      </c>
      <c r="E741" s="307">
        <f t="shared" ca="1" si="328"/>
        <v>-6.043979388142608</v>
      </c>
      <c r="F741" s="304">
        <f t="shared" ca="1" si="329"/>
        <v>6.0767670295489502</v>
      </c>
      <c r="G741" s="306">
        <f t="shared" ca="1" si="330"/>
        <v>19.680564010364346</v>
      </c>
      <c r="H741" s="307">
        <f t="shared" ca="1" si="331"/>
        <v>-118.55206766644636</v>
      </c>
      <c r="I741" s="304">
        <f t="shared" ca="1" si="332"/>
        <v>120.17452869787226</v>
      </c>
      <c r="J741" s="306">
        <f t="shared" ca="1" si="333"/>
        <v>1157.8558000259138</v>
      </c>
      <c r="K741" s="307">
        <f t="shared" ca="1" si="334"/>
        <v>2922.1036835323098</v>
      </c>
      <c r="L741" s="304">
        <f t="shared" ca="1" si="319"/>
        <v>3143.1385573923944</v>
      </c>
      <c r="M741" s="306">
        <f t="shared" ca="1" si="335"/>
        <v>-1.4062888094998143</v>
      </c>
      <c r="N741" s="304">
        <f t="shared" ca="1" si="336"/>
        <v>-80.574413560816382</v>
      </c>
      <c r="P741" s="310">
        <f t="shared" ca="1" si="337"/>
        <v>23</v>
      </c>
      <c r="Q741" s="304">
        <f t="shared" ca="1" si="338"/>
        <v>0</v>
      </c>
      <c r="R741" s="306">
        <f t="shared" ca="1" si="339"/>
        <v>0</v>
      </c>
      <c r="S741" s="307">
        <f t="shared" ca="1" si="340"/>
        <v>5.6519999999999806</v>
      </c>
      <c r="T741" s="304">
        <f t="shared" ca="1" si="320"/>
        <v>55.446119999999816</v>
      </c>
      <c r="U741" s="311">
        <f t="shared" ca="1" si="321"/>
        <v>0</v>
      </c>
      <c r="V741" s="306">
        <f t="shared" ca="1" si="322"/>
        <v>0.91267465135421078</v>
      </c>
      <c r="W741" s="304">
        <f t="shared" ca="1" si="323"/>
        <v>21.820008111133934</v>
      </c>
      <c r="Y741" s="314" t="str">
        <f t="shared" ca="1" si="341"/>
        <v/>
      </c>
      <c r="Z741" s="315" t="str">
        <f t="shared" ca="1" si="342"/>
        <v/>
      </c>
      <c r="AA741" s="316" t="str">
        <f t="shared" ca="1" si="343"/>
        <v/>
      </c>
      <c r="AC741" s="310" t="e">
        <f t="shared" ca="1" si="344"/>
        <v>#N/A</v>
      </c>
      <c r="AD741" s="323" t="e">
        <f t="shared" ca="1" si="345"/>
        <v>#N/A</v>
      </c>
      <c r="AE741" s="324" t="e">
        <f t="shared" ca="1" si="324"/>
        <v>#N/A</v>
      </c>
      <c r="AG741" s="306">
        <f t="shared" ca="1" si="346"/>
        <v>5.8569637297750692</v>
      </c>
      <c r="AH741" s="304">
        <f t="shared" ca="1" si="347"/>
        <v>-3.8184187743168247</v>
      </c>
    </row>
    <row r="742" spans="1:34" x14ac:dyDescent="0.2">
      <c r="A742" s="347">
        <f t="shared" ca="1" si="325"/>
        <v>0.1</v>
      </c>
      <c r="B742" s="304">
        <f t="shared" ca="1" si="326"/>
        <v>41.800000000000253</v>
      </c>
      <c r="D742" s="306">
        <f t="shared" ca="1" si="327"/>
        <v>-0.63223402896402958</v>
      </c>
      <c r="E742" s="307">
        <f t="shared" ca="1" si="328"/>
        <v>-6.0015394628273118</v>
      </c>
      <c r="F742" s="304">
        <f t="shared" ca="1" si="329"/>
        <v>6.0347490247112701</v>
      </c>
      <c r="G742" s="306">
        <f t="shared" ca="1" si="330"/>
        <v>19.617340607467945</v>
      </c>
      <c r="H742" s="307">
        <f t="shared" ca="1" si="331"/>
        <v>-119.15222161272909</v>
      </c>
      <c r="I742" s="304">
        <f t="shared" ca="1" si="332"/>
        <v>120.75633303375156</v>
      </c>
      <c r="J742" s="306">
        <f t="shared" ca="1" si="333"/>
        <v>1159.8206952568055</v>
      </c>
      <c r="K742" s="307">
        <f t="shared" ca="1" si="334"/>
        <v>2910.2184690683512</v>
      </c>
      <c r="L742" s="304">
        <f t="shared" ca="1" si="319"/>
        <v>3132.8191110966677</v>
      </c>
      <c r="M742" s="306">
        <f t="shared" ca="1" si="335"/>
        <v>-1.4076192159194443</v>
      </c>
      <c r="N742" s="304">
        <f t="shared" ca="1" si="336"/>
        <v>-80.650640233698297</v>
      </c>
      <c r="P742" s="310">
        <f t="shared" ca="1" si="337"/>
        <v>23</v>
      </c>
      <c r="Q742" s="304">
        <f t="shared" ca="1" si="338"/>
        <v>0</v>
      </c>
      <c r="R742" s="306">
        <f t="shared" ca="1" si="339"/>
        <v>0</v>
      </c>
      <c r="S742" s="307">
        <f t="shared" ca="1" si="340"/>
        <v>5.6519999999999806</v>
      </c>
      <c r="T742" s="304">
        <f t="shared" ca="1" si="320"/>
        <v>55.446119999999816</v>
      </c>
      <c r="U742" s="311">
        <f t="shared" ca="1" si="321"/>
        <v>0</v>
      </c>
      <c r="V742" s="306">
        <f t="shared" ca="1" si="322"/>
        <v>0.91378362033762828</v>
      </c>
      <c r="W742" s="304">
        <f t="shared" ca="1" si="323"/>
        <v>22.05856548370582</v>
      </c>
      <c r="Y742" s="314" t="str">
        <f t="shared" ca="1" si="341"/>
        <v/>
      </c>
      <c r="Z742" s="315" t="str">
        <f t="shared" ca="1" si="342"/>
        <v/>
      </c>
      <c r="AA742" s="316" t="str">
        <f t="shared" ca="1" si="343"/>
        <v/>
      </c>
      <c r="AC742" s="310" t="e">
        <f t="shared" ca="1" si="344"/>
        <v>#N/A</v>
      </c>
      <c r="AD742" s="323" t="e">
        <f t="shared" ca="1" si="345"/>
        <v>#N/A</v>
      </c>
      <c r="AE742" s="324" t="e">
        <f t="shared" ca="1" si="324"/>
        <v>#N/A</v>
      </c>
      <c r="AG742" s="306">
        <f t="shared" ca="1" si="346"/>
        <v>5.8169746767292416</v>
      </c>
      <c r="AH742" s="304">
        <f t="shared" ca="1" si="347"/>
        <v>-3.860581760639421</v>
      </c>
    </row>
    <row r="743" spans="1:34" x14ac:dyDescent="0.2">
      <c r="A743" s="347">
        <f t="shared" ca="1" si="325"/>
        <v>0.1</v>
      </c>
      <c r="B743" s="304">
        <f t="shared" ca="1" si="326"/>
        <v>41.900000000000254</v>
      </c>
      <c r="D743" s="306">
        <f t="shared" ca="1" si="327"/>
        <v>-0.63402346149217526</v>
      </c>
      <c r="E743" s="307">
        <f t="shared" ca="1" si="328"/>
        <v>-5.9590547825515845</v>
      </c>
      <c r="F743" s="304">
        <f t="shared" ca="1" si="329"/>
        <v>5.9926888498547486</v>
      </c>
      <c r="G743" s="306">
        <f t="shared" ca="1" si="330"/>
        <v>19.553938261318727</v>
      </c>
      <c r="H743" s="307">
        <f t="shared" ca="1" si="331"/>
        <v>-119.74812709098426</v>
      </c>
      <c r="I743" s="304">
        <f t="shared" ca="1" si="332"/>
        <v>121.33412728217063</v>
      </c>
      <c r="J743" s="306">
        <f t="shared" ca="1" si="333"/>
        <v>1161.7792592002447</v>
      </c>
      <c r="K743" s="307">
        <f t="shared" ca="1" si="334"/>
        <v>2898.2734516331657</v>
      </c>
      <c r="L743" s="304">
        <f t="shared" ca="1" si="319"/>
        <v>3122.4541706083523</v>
      </c>
      <c r="M743" s="306">
        <f t="shared" ca="1" si="335"/>
        <v>-1.4089326744867861</v>
      </c>
      <c r="N743" s="304">
        <f t="shared" ca="1" si="336"/>
        <v>-80.72589586617228</v>
      </c>
      <c r="P743" s="310">
        <f t="shared" ca="1" si="337"/>
        <v>23</v>
      </c>
      <c r="Q743" s="304">
        <f t="shared" ca="1" si="338"/>
        <v>0</v>
      </c>
      <c r="R743" s="306">
        <f t="shared" ca="1" si="339"/>
        <v>0</v>
      </c>
      <c r="S743" s="307">
        <f t="shared" ca="1" si="340"/>
        <v>5.6519999999999806</v>
      </c>
      <c r="T743" s="304">
        <f t="shared" ca="1" si="320"/>
        <v>55.446119999999816</v>
      </c>
      <c r="U743" s="311">
        <f t="shared" ca="1" si="321"/>
        <v>0</v>
      </c>
      <c r="V743" s="306">
        <f t="shared" ca="1" si="322"/>
        <v>0.91489932924419648</v>
      </c>
      <c r="W743" s="304">
        <f t="shared" ca="1" si="323"/>
        <v>22.297353266063048</v>
      </c>
      <c r="Y743" s="314" t="str">
        <f t="shared" ca="1" si="341"/>
        <v/>
      </c>
      <c r="Z743" s="315" t="str">
        <f t="shared" ca="1" si="342"/>
        <v/>
      </c>
      <c r="AA743" s="316" t="str">
        <f t="shared" ca="1" si="343"/>
        <v/>
      </c>
      <c r="AC743" s="310" t="e">
        <f t="shared" ca="1" si="344"/>
        <v>#N/A</v>
      </c>
      <c r="AD743" s="323" t="e">
        <f t="shared" ca="1" si="345"/>
        <v>#N/A</v>
      </c>
      <c r="AE743" s="324" t="e">
        <f t="shared" ca="1" si="324"/>
        <v>#N/A</v>
      </c>
      <c r="AG743" s="306">
        <f t="shared" ca="1" si="346"/>
        <v>5.7768958722917052</v>
      </c>
      <c r="AH743" s="304">
        <f t="shared" ca="1" si="347"/>
        <v>-3.9027893637130036</v>
      </c>
    </row>
    <row r="744" spans="1:34" x14ac:dyDescent="0.2">
      <c r="A744" s="347">
        <f t="shared" ca="1" si="325"/>
        <v>0.1</v>
      </c>
      <c r="B744" s="304">
        <f t="shared" ca="1" si="326"/>
        <v>42.000000000000256</v>
      </c>
      <c r="D744" s="306">
        <f t="shared" ca="1" si="327"/>
        <v>-0.63577351232195023</v>
      </c>
      <c r="E744" s="307">
        <f t="shared" ca="1" si="328"/>
        <v>-5.9165292148735737</v>
      </c>
      <c r="F744" s="304">
        <f t="shared" ca="1" si="329"/>
        <v>5.9505903832664115</v>
      </c>
      <c r="G744" s="306">
        <f t="shared" ca="1" si="330"/>
        <v>19.490360910086533</v>
      </c>
      <c r="H744" s="307">
        <f t="shared" ca="1" si="331"/>
        <v>-120.33978001247161</v>
      </c>
      <c r="I744" s="304">
        <f t="shared" ca="1" si="332"/>
        <v>121.90790303280379</v>
      </c>
      <c r="J744" s="306">
        <f t="shared" ca="1" si="333"/>
        <v>1163.731474158815</v>
      </c>
      <c r="K744" s="307">
        <f t="shared" ca="1" si="334"/>
        <v>2886.2690562779931</v>
      </c>
      <c r="L744" s="304">
        <f t="shared" ca="1" si="319"/>
        <v>3112.0443456312933</v>
      </c>
      <c r="M744" s="306">
        <f t="shared" ca="1" si="335"/>
        <v>-1.410229520875705</v>
      </c>
      <c r="N744" s="304">
        <f t="shared" ca="1" si="336"/>
        <v>-80.800199690934122</v>
      </c>
      <c r="P744" s="310">
        <f t="shared" ca="1" si="337"/>
        <v>23</v>
      </c>
      <c r="Q744" s="304">
        <f t="shared" ca="1" si="338"/>
        <v>0</v>
      </c>
      <c r="R744" s="306">
        <f t="shared" ca="1" si="339"/>
        <v>0</v>
      </c>
      <c r="S744" s="307">
        <f t="shared" ca="1" si="340"/>
        <v>5.6519999999999806</v>
      </c>
      <c r="T744" s="304">
        <f t="shared" ca="1" si="320"/>
        <v>55.446119999999816</v>
      </c>
      <c r="U744" s="311">
        <f t="shared" ca="1" si="321"/>
        <v>0</v>
      </c>
      <c r="V744" s="306">
        <f t="shared" ca="1" si="322"/>
        <v>0.91602175760966509</v>
      </c>
      <c r="W744" s="304">
        <f t="shared" ca="1" si="323"/>
        <v>22.536349805045027</v>
      </c>
      <c r="Y744" s="314" t="str">
        <f t="shared" ca="1" si="341"/>
        <v/>
      </c>
      <c r="Z744" s="315" t="str">
        <f t="shared" ca="1" si="342"/>
        <v/>
      </c>
      <c r="AA744" s="316" t="str">
        <f t="shared" ca="1" si="343"/>
        <v/>
      </c>
      <c r="AC744" s="310">
        <f t="shared" ca="1" si="344"/>
        <v>42.000000000000256</v>
      </c>
      <c r="AD744" s="323">
        <f t="shared" ca="1" si="345"/>
        <v>1163.731474158815</v>
      </c>
      <c r="AE744" s="324" t="e">
        <f t="shared" ca="1" si="324"/>
        <v>#N/A</v>
      </c>
      <c r="AG744" s="306">
        <f t="shared" ca="1" si="346"/>
        <v>5.7367323764841487</v>
      </c>
      <c r="AH744" s="304">
        <f t="shared" ca="1" si="347"/>
        <v>-3.945037732849102</v>
      </c>
    </row>
    <row r="745" spans="1:34" x14ac:dyDescent="0.2">
      <c r="A745" s="347">
        <f t="shared" ca="1" si="325"/>
        <v>0.1</v>
      </c>
      <c r="B745" s="304">
        <f t="shared" ca="1" si="326"/>
        <v>42.100000000000257</v>
      </c>
      <c r="D745" s="306">
        <f t="shared" ca="1" si="327"/>
        <v>-0.63748422475160116</v>
      </c>
      <c r="E745" s="307">
        <f t="shared" ca="1" si="328"/>
        <v>-5.8739666078052091</v>
      </c>
      <c r="F745" s="304">
        <f t="shared" ca="1" si="329"/>
        <v>5.9084574845231632</v>
      </c>
      <c r="G745" s="306">
        <f t="shared" ca="1" si="330"/>
        <v>19.426612487611372</v>
      </c>
      <c r="H745" s="307">
        <f t="shared" ca="1" si="331"/>
        <v>-120.92717667325213</v>
      </c>
      <c r="I745" s="304">
        <f t="shared" ca="1" si="332"/>
        <v>122.47765237343404</v>
      </c>
      <c r="J745" s="306">
        <f t="shared" ca="1" si="333"/>
        <v>1165.6773228287</v>
      </c>
      <c r="K745" s="307">
        <f t="shared" ca="1" si="334"/>
        <v>2874.205708443707</v>
      </c>
      <c r="L745" s="304">
        <f t="shared" ca="1" si="319"/>
        <v>3101.5902494377747</v>
      </c>
      <c r="M745" s="306">
        <f t="shared" ca="1" si="335"/>
        <v>-1.4115100819404232</v>
      </c>
      <c r="N745" s="304">
        <f t="shared" ca="1" si="336"/>
        <v>-80.873570435351255</v>
      </c>
      <c r="P745" s="310">
        <f t="shared" ca="1" si="337"/>
        <v>23</v>
      </c>
      <c r="Q745" s="304">
        <f t="shared" ca="1" si="338"/>
        <v>0</v>
      </c>
      <c r="R745" s="306">
        <f t="shared" ca="1" si="339"/>
        <v>0</v>
      </c>
      <c r="S745" s="307">
        <f t="shared" ca="1" si="340"/>
        <v>5.6519999999999806</v>
      </c>
      <c r="T745" s="304">
        <f t="shared" ca="1" si="320"/>
        <v>55.446119999999816</v>
      </c>
      <c r="U745" s="311">
        <f t="shared" ca="1" si="321"/>
        <v>0</v>
      </c>
      <c r="V745" s="306">
        <f t="shared" ca="1" si="322"/>
        <v>0.91715088491192087</v>
      </c>
      <c r="W745" s="304">
        <f t="shared" ca="1" si="323"/>
        <v>22.7755335616209</v>
      </c>
      <c r="Y745" s="314" t="str">
        <f t="shared" ca="1" si="341"/>
        <v/>
      </c>
      <c r="Z745" s="315" t="str">
        <f t="shared" ca="1" si="342"/>
        <v/>
      </c>
      <c r="AA745" s="316" t="str">
        <f t="shared" ca="1" si="343"/>
        <v/>
      </c>
      <c r="AC745" s="310" t="e">
        <f t="shared" ca="1" si="344"/>
        <v>#N/A</v>
      </c>
      <c r="AD745" s="323" t="e">
        <f t="shared" ca="1" si="345"/>
        <v>#N/A</v>
      </c>
      <c r="AE745" s="324" t="e">
        <f t="shared" ca="1" si="324"/>
        <v>#N/A</v>
      </c>
      <c r="AG745" s="306">
        <f t="shared" ca="1" si="346"/>
        <v>5.6964891897297356</v>
      </c>
      <c r="AH745" s="304">
        <f t="shared" ca="1" si="347"/>
        <v>-3.9873230369860413</v>
      </c>
    </row>
    <row r="746" spans="1:34" x14ac:dyDescent="0.2">
      <c r="A746" s="347">
        <f t="shared" ca="1" si="325"/>
        <v>0.1</v>
      </c>
      <c r="B746" s="304">
        <f t="shared" ca="1" si="326"/>
        <v>42.200000000000259</v>
      </c>
      <c r="D746" s="306">
        <f t="shared" ca="1" si="327"/>
        <v>-0.63915564752038156</v>
      </c>
      <c r="E746" s="307">
        <f t="shared" ca="1" si="328"/>
        <v>-5.8313707892359634</v>
      </c>
      <c r="F746" s="304">
        <f t="shared" ca="1" si="329"/>
        <v>5.866293993937882</v>
      </c>
      <c r="G746" s="306">
        <f t="shared" ca="1" si="330"/>
        <v>19.362696922859335</v>
      </c>
      <c r="H746" s="307">
        <f t="shared" ca="1" si="331"/>
        <v>-121.51031375217573</v>
      </c>
      <c r="I746" s="304">
        <f t="shared" ca="1" si="332"/>
        <v>123.04336788416795</v>
      </c>
      <c r="J746" s="306">
        <f t="shared" ca="1" si="333"/>
        <v>1167.6167882992236</v>
      </c>
      <c r="K746" s="307">
        <f t="shared" ca="1" si="334"/>
        <v>2862.0838339224356</v>
      </c>
      <c r="L746" s="304">
        <f t="shared" ca="1" si="319"/>
        <v>3091.0924988939332</v>
      </c>
      <c r="M746" s="306">
        <f t="shared" ca="1" si="335"/>
        <v>-1.4127746759991171</v>
      </c>
      <c r="N746" s="304">
        <f t="shared" ca="1" si="336"/>
        <v>-80.946026337711729</v>
      </c>
      <c r="P746" s="310">
        <f t="shared" ca="1" si="337"/>
        <v>23</v>
      </c>
      <c r="Q746" s="304">
        <f t="shared" ca="1" si="338"/>
        <v>0</v>
      </c>
      <c r="R746" s="306">
        <f t="shared" ca="1" si="339"/>
        <v>0</v>
      </c>
      <c r="S746" s="307">
        <f t="shared" ca="1" si="340"/>
        <v>5.6519999999999806</v>
      </c>
      <c r="T746" s="304">
        <f t="shared" ca="1" si="320"/>
        <v>55.446119999999816</v>
      </c>
      <c r="U746" s="311">
        <f t="shared" ca="1" si="321"/>
        <v>0</v>
      </c>
      <c r="V746" s="306">
        <f t="shared" ca="1" si="322"/>
        <v>0.91828669057255818</v>
      </c>
      <c r="W746" s="304">
        <f t="shared" ca="1" si="323"/>
        <v>23.014883114040853</v>
      </c>
      <c r="Y746" s="314" t="str">
        <f t="shared" ca="1" si="341"/>
        <v/>
      </c>
      <c r="Z746" s="315" t="str">
        <f t="shared" ca="1" si="342"/>
        <v/>
      </c>
      <c r="AA746" s="316" t="str">
        <f t="shared" ca="1" si="343"/>
        <v/>
      </c>
      <c r="AC746" s="310" t="e">
        <f t="shared" ca="1" si="344"/>
        <v>#N/A</v>
      </c>
      <c r="AD746" s="323" t="e">
        <f t="shared" ca="1" si="345"/>
        <v>#N/A</v>
      </c>
      <c r="AE746" s="324" t="e">
        <f t="shared" ca="1" si="324"/>
        <v>#N/A</v>
      </c>
      <c r="AG746" s="306">
        <f t="shared" ca="1" si="346"/>
        <v>5.6561712538490339</v>
      </c>
      <c r="AH746" s="304">
        <f t="shared" ca="1" si="347"/>
        <v>-4.0296414652549499</v>
      </c>
    </row>
    <row r="747" spans="1:34" x14ac:dyDescent="0.2">
      <c r="A747" s="347">
        <f t="shared" ca="1" si="325"/>
        <v>0.1</v>
      </c>
      <c r="B747" s="304">
        <f t="shared" ca="1" si="326"/>
        <v>42.30000000000026</v>
      </c>
      <c r="D747" s="306">
        <f t="shared" ca="1" si="327"/>
        <v>-0.6407878347427628</v>
      </c>
      <c r="E747" s="307">
        <f t="shared" ca="1" si="328"/>
        <v>-5.7887455663654341</v>
      </c>
      <c r="F747" s="304">
        <f t="shared" ca="1" si="329"/>
        <v>5.8241037320148914</v>
      </c>
      <c r="G747" s="306">
        <f t="shared" ca="1" si="330"/>
        <v>19.298618139385059</v>
      </c>
      <c r="H747" s="307">
        <f t="shared" ca="1" si="331"/>
        <v>-122.08918830881228</v>
      </c>
      <c r="I747" s="304">
        <f t="shared" ca="1" si="332"/>
        <v>123.60504263174066</v>
      </c>
      <c r="J747" s="306">
        <f t="shared" ca="1" si="333"/>
        <v>1169.5498540523358</v>
      </c>
      <c r="K747" s="307">
        <f t="shared" ca="1" si="334"/>
        <v>2849.9038588193862</v>
      </c>
      <c r="L747" s="304">
        <f t="shared" ca="1" si="319"/>
        <v>3080.5517144867845</v>
      </c>
      <c r="M747" s="306">
        <f t="shared" ca="1" si="335"/>
        <v>-1.4140236131067723</v>
      </c>
      <c r="N747" s="304">
        <f t="shared" ca="1" si="336"/>
        <v>-81.017585162857642</v>
      </c>
      <c r="P747" s="310">
        <f t="shared" ca="1" si="337"/>
        <v>23</v>
      </c>
      <c r="Q747" s="304">
        <f t="shared" ca="1" si="338"/>
        <v>0</v>
      </c>
      <c r="R747" s="306">
        <f t="shared" ca="1" si="339"/>
        <v>0</v>
      </c>
      <c r="S747" s="307">
        <f t="shared" ca="1" si="340"/>
        <v>5.6519999999999806</v>
      </c>
      <c r="T747" s="304">
        <f t="shared" ca="1" si="320"/>
        <v>55.446119999999816</v>
      </c>
      <c r="U747" s="311">
        <f t="shared" ca="1" si="321"/>
        <v>0</v>
      </c>
      <c r="V747" s="306">
        <f t="shared" ca="1" si="322"/>
        <v>0.91942915395845082</v>
      </c>
      <c r="W747" s="304">
        <f t="shared" ca="1" si="323"/>
        <v>23.254377160939015</v>
      </c>
      <c r="Y747" s="314" t="str">
        <f t="shared" ca="1" si="341"/>
        <v/>
      </c>
      <c r="Z747" s="315" t="str">
        <f t="shared" ca="1" si="342"/>
        <v/>
      </c>
      <c r="AA747" s="316" t="str">
        <f t="shared" ca="1" si="343"/>
        <v/>
      </c>
      <c r="AC747" s="310" t="e">
        <f t="shared" ca="1" si="344"/>
        <v>#N/A</v>
      </c>
      <c r="AD747" s="323" t="e">
        <f t="shared" ca="1" si="345"/>
        <v>#N/A</v>
      </c>
      <c r="AE747" s="324" t="e">
        <f t="shared" ca="1" si="324"/>
        <v>#N/A</v>
      </c>
      <c r="AG747" s="306">
        <f t="shared" ca="1" si="346"/>
        <v>5.6157834529943012</v>
      </c>
      <c r="AH747" s="304">
        <f t="shared" ca="1" si="347"/>
        <v>-4.07198922753732</v>
      </c>
    </row>
    <row r="748" spans="1:34" x14ac:dyDescent="0.2">
      <c r="A748" s="347">
        <f t="shared" ca="1" si="325"/>
        <v>0.1</v>
      </c>
      <c r="B748" s="304">
        <f t="shared" ca="1" si="326"/>
        <v>42.400000000000261</v>
      </c>
      <c r="D748" s="306">
        <f t="shared" ca="1" si="327"/>
        <v>-0.64238084584269339</v>
      </c>
      <c r="E748" s="307">
        <f t="shared" ca="1" si="328"/>
        <v>-5.7460947251448271</v>
      </c>
      <c r="F748" s="304">
        <f t="shared" ca="1" si="329"/>
        <v>5.781890498914934</v>
      </c>
      <c r="G748" s="306">
        <f t="shared" ca="1" si="330"/>
        <v>19.234380054800791</v>
      </c>
      <c r="H748" s="307">
        <f t="shared" ca="1" si="331"/>
        <v>-122.66379778132676</v>
      </c>
      <c r="I748" s="304">
        <f t="shared" ca="1" si="332"/>
        <v>124.16267016390532</v>
      </c>
      <c r="J748" s="306">
        <f t="shared" ca="1" si="333"/>
        <v>1171.4765039620452</v>
      </c>
      <c r="K748" s="307">
        <f t="shared" ca="1" si="334"/>
        <v>2837.666209514879</v>
      </c>
      <c r="L748" s="304">
        <f t="shared" ca="1" si="319"/>
        <v>3069.9685203528843</v>
      </c>
      <c r="M748" s="306">
        <f t="shared" ca="1" si="335"/>
        <v>-1.4152571953177648</v>
      </c>
      <c r="N748" s="304">
        <f t="shared" ca="1" si="336"/>
        <v>-81.088264217229934</v>
      </c>
      <c r="P748" s="310">
        <f t="shared" ca="1" si="337"/>
        <v>23</v>
      </c>
      <c r="Q748" s="304">
        <f t="shared" ca="1" si="338"/>
        <v>0</v>
      </c>
      <c r="R748" s="306">
        <f t="shared" ca="1" si="339"/>
        <v>0</v>
      </c>
      <c r="S748" s="307">
        <f t="shared" ca="1" si="340"/>
        <v>5.6519999999999806</v>
      </c>
      <c r="T748" s="304">
        <f t="shared" ca="1" si="320"/>
        <v>55.446119999999816</v>
      </c>
      <c r="U748" s="311">
        <f t="shared" ca="1" si="321"/>
        <v>0</v>
      </c>
      <c r="V748" s="306">
        <f t="shared" ca="1" si="322"/>
        <v>0.92057825438332608</v>
      </c>
      <c r="W748" s="304">
        <f t="shared" ca="1" si="323"/>
        <v>23.493994524387315</v>
      </c>
      <c r="Y748" s="314" t="str">
        <f t="shared" ca="1" si="341"/>
        <v/>
      </c>
      <c r="Z748" s="315" t="str">
        <f t="shared" ca="1" si="342"/>
        <v/>
      </c>
      <c r="AA748" s="316" t="str">
        <f t="shared" ca="1" si="343"/>
        <v/>
      </c>
      <c r="AC748" s="310" t="e">
        <f t="shared" ca="1" si="344"/>
        <v>#N/A</v>
      </c>
      <c r="AD748" s="323" t="e">
        <f t="shared" ca="1" si="345"/>
        <v>#N/A</v>
      </c>
      <c r="AE748" s="324" t="e">
        <f t="shared" ca="1" si="324"/>
        <v>#N/A</v>
      </c>
      <c r="AG748" s="306">
        <f t="shared" ca="1" si="346"/>
        <v>5.5753306145257664</v>
      </c>
      <c r="AH748" s="304">
        <f t="shared" ca="1" si="347"/>
        <v>-4.1143625550139937</v>
      </c>
    </row>
    <row r="749" spans="1:34" x14ac:dyDescent="0.2">
      <c r="A749" s="347">
        <f t="shared" ca="1" si="325"/>
        <v>0.1</v>
      </c>
      <c r="B749" s="304">
        <f t="shared" ca="1" si="326"/>
        <v>42.500000000000263</v>
      </c>
      <c r="D749" s="306">
        <f t="shared" ca="1" si="327"/>
        <v>-0.64393474548787322</v>
      </c>
      <c r="E749" s="307">
        <f t="shared" ca="1" si="328"/>
        <v>-5.7034220297274514</v>
      </c>
      <c r="F749" s="304">
        <f t="shared" ca="1" si="329"/>
        <v>5.7396580739297471</v>
      </c>
      <c r="G749" s="306">
        <f t="shared" ca="1" si="330"/>
        <v>19.169986580252004</v>
      </c>
      <c r="H749" s="307">
        <f t="shared" ca="1" si="331"/>
        <v>-123.2341399842995</v>
      </c>
      <c r="I749" s="304">
        <f t="shared" ca="1" si="332"/>
        <v>124.71624450390161</v>
      </c>
      <c r="J749" s="306">
        <f t="shared" ca="1" si="333"/>
        <v>1173.3967222937979</v>
      </c>
      <c r="K749" s="307">
        <f t="shared" ca="1" si="334"/>
        <v>2825.3713126265975</v>
      </c>
      <c r="L749" s="304">
        <f t="shared" ca="1" si="319"/>
        <v>3059.343544308676</v>
      </c>
      <c r="M749" s="306">
        <f t="shared" ca="1" si="335"/>
        <v>-1.416475716938608</v>
      </c>
      <c r="N749" s="304">
        <f t="shared" ca="1" si="336"/>
        <v>-81.158080363349683</v>
      </c>
      <c r="P749" s="310">
        <f t="shared" ca="1" si="337"/>
        <v>23</v>
      </c>
      <c r="Q749" s="304">
        <f t="shared" ca="1" si="338"/>
        <v>0</v>
      </c>
      <c r="R749" s="306">
        <f t="shared" ca="1" si="339"/>
        <v>0</v>
      </c>
      <c r="S749" s="307">
        <f t="shared" ca="1" si="340"/>
        <v>5.6519999999999806</v>
      </c>
      <c r="T749" s="304">
        <f t="shared" ca="1" si="320"/>
        <v>55.446119999999816</v>
      </c>
      <c r="U749" s="311">
        <f t="shared" ca="1" si="321"/>
        <v>0</v>
      </c>
      <c r="V749" s="306">
        <f t="shared" ca="1" si="322"/>
        <v>0.92173397110933553</v>
      </c>
      <c r="W749" s="304">
        <f t="shared" ca="1" si="323"/>
        <v>23.733714152899356</v>
      </c>
      <c r="Y749" s="314" t="str">
        <f t="shared" ca="1" si="341"/>
        <v/>
      </c>
      <c r="Z749" s="315" t="str">
        <f t="shared" ca="1" si="342"/>
        <v/>
      </c>
      <c r="AA749" s="316" t="str">
        <f t="shared" ca="1" si="343"/>
        <v/>
      </c>
      <c r="AC749" s="310" t="e">
        <f t="shared" ca="1" si="344"/>
        <v>#N/A</v>
      </c>
      <c r="AD749" s="323" t="e">
        <f t="shared" ca="1" si="345"/>
        <v>#N/A</v>
      </c>
      <c r="AE749" s="324" t="e">
        <f t="shared" ca="1" si="324"/>
        <v>#N/A</v>
      </c>
      <c r="AG749" s="306">
        <f t="shared" ca="1" si="346"/>
        <v>5.5348175098333598</v>
      </c>
      <c r="AH749" s="304">
        <f t="shared" ca="1" si="347"/>
        <v>-4.1567577007054837</v>
      </c>
    </row>
    <row r="750" spans="1:34" x14ac:dyDescent="0.2">
      <c r="A750" s="347">
        <f t="shared" ca="1" si="325"/>
        <v>0.1</v>
      </c>
      <c r="B750" s="304">
        <f t="shared" ca="1" si="326"/>
        <v>42.600000000000264</v>
      </c>
      <c r="D750" s="306">
        <f t="shared" ca="1" si="327"/>
        <v>-0.64544960352403646</v>
      </c>
      <c r="E750" s="307">
        <f t="shared" ca="1" si="328"/>
        <v>-5.660731221928371</v>
      </c>
      <c r="F750" s="304">
        <f t="shared" ca="1" si="329"/>
        <v>5.6974102149664461</v>
      </c>
      <c r="G750" s="306">
        <f t="shared" ca="1" si="330"/>
        <v>19.105441619899601</v>
      </c>
      <c r="H750" s="307">
        <f t="shared" ca="1" si="331"/>
        <v>-123.80021310649234</v>
      </c>
      <c r="I750" s="304">
        <f t="shared" ca="1" si="332"/>
        <v>125.26576014499855</v>
      </c>
      <c r="J750" s="306">
        <f t="shared" ca="1" si="333"/>
        <v>1175.3104937038054</v>
      </c>
      <c r="K750" s="307">
        <f t="shared" ca="1" si="334"/>
        <v>2813.0195949720578</v>
      </c>
      <c r="L750" s="304">
        <f t="shared" ca="1" si="319"/>
        <v>3048.6774178825549</v>
      </c>
      <c r="M750" s="306">
        <f t="shared" ca="1" si="335"/>
        <v>-1.4176794647712905</v>
      </c>
      <c r="N750" s="304">
        <f t="shared" ca="1" si="336"/>
        <v>-81.22705003376042</v>
      </c>
      <c r="P750" s="310">
        <f t="shared" ca="1" si="337"/>
        <v>23</v>
      </c>
      <c r="Q750" s="304">
        <f t="shared" ca="1" si="338"/>
        <v>0</v>
      </c>
      <c r="R750" s="306">
        <f t="shared" ca="1" si="339"/>
        <v>0</v>
      </c>
      <c r="S750" s="307">
        <f t="shared" ca="1" si="340"/>
        <v>5.6519999999999806</v>
      </c>
      <c r="T750" s="304">
        <f t="shared" ca="1" si="320"/>
        <v>55.446119999999816</v>
      </c>
      <c r="U750" s="311">
        <f t="shared" ca="1" si="321"/>
        <v>0</v>
      </c>
      <c r="V750" s="306">
        <f t="shared" ca="1" si="322"/>
        <v>0.92289628334863205</v>
      </c>
      <c r="W750" s="304">
        <f t="shared" ca="1" si="323"/>
        <v>23.97351512438421</v>
      </c>
      <c r="Y750" s="314" t="str">
        <f t="shared" ca="1" si="341"/>
        <v/>
      </c>
      <c r="Z750" s="315" t="str">
        <f t="shared" ca="1" si="342"/>
        <v/>
      </c>
      <c r="AA750" s="316" t="str">
        <f t="shared" ca="1" si="343"/>
        <v/>
      </c>
      <c r="AC750" s="310" t="e">
        <f t="shared" ca="1" si="344"/>
        <v>#N/A</v>
      </c>
      <c r="AD750" s="323" t="e">
        <f t="shared" ca="1" si="345"/>
        <v>#N/A</v>
      </c>
      <c r="AE750" s="324" t="e">
        <f t="shared" ca="1" si="324"/>
        <v>#N/A</v>
      </c>
      <c r="AG750" s="306">
        <f t="shared" ca="1" si="346"/>
        <v>5.4942488551072</v>
      </c>
      <c r="AH750" s="304">
        <f t="shared" ca="1" si="347"/>
        <v>-4.1991709400034392</v>
      </c>
    </row>
    <row r="751" spans="1:34" x14ac:dyDescent="0.2">
      <c r="A751" s="347">
        <f t="shared" ca="1" si="325"/>
        <v>0.1</v>
      </c>
      <c r="B751" s="304">
        <f t="shared" ca="1" si="326"/>
        <v>42.700000000000266</v>
      </c>
      <c r="D751" s="306">
        <f t="shared" ca="1" si="327"/>
        <v>-0.64692549490921614</v>
      </c>
      <c r="E751" s="307">
        <f t="shared" ca="1" si="328"/>
        <v>-5.6180260206932164</v>
      </c>
      <c r="F751" s="304">
        <f t="shared" ca="1" si="329"/>
        <v>5.6551506580417108</v>
      </c>
      <c r="G751" s="306">
        <f t="shared" ca="1" si="330"/>
        <v>19.04074907040868</v>
      </c>
      <c r="H751" s="307">
        <f t="shared" ca="1" si="331"/>
        <v>-124.36201570856166</v>
      </c>
      <c r="I751" s="304">
        <f t="shared" ca="1" si="332"/>
        <v>125.81121204510671</v>
      </c>
      <c r="J751" s="306">
        <f t="shared" ca="1" si="333"/>
        <v>1177.2178032383208</v>
      </c>
      <c r="K751" s="307">
        <f t="shared" ca="1" si="334"/>
        <v>2800.6114835313051</v>
      </c>
      <c r="L751" s="304">
        <f t="shared" ca="1" si="319"/>
        <v>3037.9707763486922</v>
      </c>
      <c r="M751" s="306">
        <f t="shared" ca="1" si="335"/>
        <v>-1.4188687183476054</v>
      </c>
      <c r="N751" s="304">
        <f t="shared" ca="1" si="336"/>
        <v>-81.295189244454107</v>
      </c>
      <c r="P751" s="310">
        <f t="shared" ca="1" si="337"/>
        <v>23</v>
      </c>
      <c r="Q751" s="304">
        <f t="shared" ca="1" si="338"/>
        <v>0</v>
      </c>
      <c r="R751" s="306">
        <f t="shared" ca="1" si="339"/>
        <v>0</v>
      </c>
      <c r="S751" s="307">
        <f t="shared" ca="1" si="340"/>
        <v>5.6519999999999806</v>
      </c>
      <c r="T751" s="304">
        <f t="shared" ca="1" si="320"/>
        <v>55.446119999999816</v>
      </c>
      <c r="U751" s="311">
        <f t="shared" ca="1" si="321"/>
        <v>0</v>
      </c>
      <c r="V751" s="306">
        <f t="shared" ca="1" si="322"/>
        <v>0.92406517026494228</v>
      </c>
      <c r="W751" s="304">
        <f t="shared" ca="1" si="323"/>
        <v>24.213376649048946</v>
      </c>
      <c r="Y751" s="314" t="str">
        <f t="shared" ca="1" si="341"/>
        <v/>
      </c>
      <c r="Z751" s="315" t="str">
        <f t="shared" ca="1" si="342"/>
        <v/>
      </c>
      <c r="AA751" s="316" t="str">
        <f t="shared" ca="1" si="343"/>
        <v/>
      </c>
      <c r="AC751" s="310" t="e">
        <f t="shared" ca="1" si="344"/>
        <v>#N/A</v>
      </c>
      <c r="AD751" s="323" t="e">
        <f t="shared" ca="1" si="345"/>
        <v>#N/A</v>
      </c>
      <c r="AE751" s="324" t="e">
        <f t="shared" ca="1" si="324"/>
        <v>#N/A</v>
      </c>
      <c r="AG751" s="306">
        <f t="shared" ca="1" si="346"/>
        <v>5.4536293120598831</v>
      </c>
      <c r="AH751" s="304">
        <f t="shared" ca="1" si="347"/>
        <v>-4.2415985711932578</v>
      </c>
    </row>
    <row r="752" spans="1:34" x14ac:dyDescent="0.2">
      <c r="A752" s="347">
        <f t="shared" ca="1" si="325"/>
        <v>0.1</v>
      </c>
      <c r="B752" s="304">
        <f t="shared" ca="1" si="326"/>
        <v>42.800000000000267</v>
      </c>
      <c r="D752" s="306">
        <f t="shared" ca="1" si="327"/>
        <v>-0.64836249964797665</v>
      </c>
      <c r="E752" s="307">
        <f t="shared" ca="1" si="328"/>
        <v>-5.5753101215763579</v>
      </c>
      <c r="F752" s="304">
        <f t="shared" ca="1" si="329"/>
        <v>5.6128831167860209</v>
      </c>
      <c r="G752" s="306">
        <f t="shared" ca="1" si="330"/>
        <v>18.975912820443881</v>
      </c>
      <c r="H752" s="307">
        <f t="shared" ca="1" si="331"/>
        <v>-124.9195467207193</v>
      </c>
      <c r="I752" s="304">
        <f t="shared" ca="1" si="332"/>
        <v>126.35259562145551</v>
      </c>
      <c r="J752" s="306">
        <f t="shared" ca="1" si="333"/>
        <v>1179.1186363328634</v>
      </c>
      <c r="K752" s="307">
        <f t="shared" ca="1" si="334"/>
        <v>2788.1474054098412</v>
      </c>
      <c r="L752" s="304">
        <f t="shared" ca="1" si="319"/>
        <v>3027.2242587626542</v>
      </c>
      <c r="M752" s="306">
        <f t="shared" ca="1" si="335"/>
        <v>-1.4200437501548506</v>
      </c>
      <c r="N752" s="304">
        <f t="shared" ca="1" si="336"/>
        <v>-81.362513607802882</v>
      </c>
      <c r="P752" s="310">
        <f t="shared" ca="1" si="337"/>
        <v>23</v>
      </c>
      <c r="Q752" s="304">
        <f t="shared" ca="1" si="338"/>
        <v>0</v>
      </c>
      <c r="R752" s="306">
        <f t="shared" ca="1" si="339"/>
        <v>0</v>
      </c>
      <c r="S752" s="307">
        <f t="shared" ca="1" si="340"/>
        <v>5.6519999999999806</v>
      </c>
      <c r="T752" s="304">
        <f t="shared" ca="1" si="320"/>
        <v>55.446119999999816</v>
      </c>
      <c r="U752" s="311">
        <f t="shared" ca="1" si="321"/>
        <v>0</v>
      </c>
      <c r="V752" s="306">
        <f t="shared" ca="1" si="322"/>
        <v>0.92524061097513977</v>
      </c>
      <c r="W752" s="304">
        <f t="shared" ca="1" si="323"/>
        <v>24.453278072249692</v>
      </c>
      <c r="Y752" s="314" t="str">
        <f t="shared" ca="1" si="341"/>
        <v/>
      </c>
      <c r="Z752" s="315" t="str">
        <f t="shared" ca="1" si="342"/>
        <v/>
      </c>
      <c r="AA752" s="316" t="str">
        <f t="shared" ca="1" si="343"/>
        <v/>
      </c>
      <c r="AC752" s="310" t="e">
        <f t="shared" ca="1" si="344"/>
        <v>#N/A</v>
      </c>
      <c r="AD752" s="323" t="e">
        <f t="shared" ca="1" si="345"/>
        <v>#N/A</v>
      </c>
      <c r="AE752" s="324" t="e">
        <f t="shared" ca="1" si="324"/>
        <v>#N/A</v>
      </c>
      <c r="AG752" s="306">
        <f t="shared" ca="1" si="346"/>
        <v>5.41296348860355</v>
      </c>
      <c r="AH752" s="304">
        <f t="shared" ca="1" si="347"/>
        <v>-4.2840369159676275</v>
      </c>
    </row>
    <row r="753" spans="1:34" x14ac:dyDescent="0.2">
      <c r="A753" s="347">
        <f t="shared" ca="1" si="325"/>
        <v>0.1</v>
      </c>
      <c r="B753" s="304">
        <f t="shared" ca="1" si="326"/>
        <v>42.900000000000269</v>
      </c>
      <c r="D753" s="306">
        <f t="shared" ca="1" si="327"/>
        <v>-0.64976070272560904</v>
      </c>
      <c r="E753" s="307">
        <f t="shared" ca="1" si="328"/>
        <v>-5.5325871962284623</v>
      </c>
      <c r="F753" s="304">
        <f t="shared" ca="1" si="329"/>
        <v>5.5706112819579863</v>
      </c>
      <c r="G753" s="306">
        <f t="shared" ca="1" si="330"/>
        <v>18.91093675017132</v>
      </c>
      <c r="H753" s="307">
        <f t="shared" ca="1" si="331"/>
        <v>-125.47280544034214</v>
      </c>
      <c r="I753" s="304">
        <f t="shared" ca="1" si="332"/>
        <v>126.88990674533153</v>
      </c>
      <c r="J753" s="306">
        <f t="shared" ca="1" si="333"/>
        <v>1181.0129788113941</v>
      </c>
      <c r="K753" s="307">
        <f t="shared" ca="1" si="334"/>
        <v>2775.6277878017881</v>
      </c>
      <c r="L753" s="304">
        <f t="shared" ca="1" si="319"/>
        <v>3016.4385079988638</v>
      </c>
      <c r="M753" s="306">
        <f t="shared" ca="1" si="335"/>
        <v>-1.4212048258532688</v>
      </c>
      <c r="N753" s="304">
        <f t="shared" ca="1" si="336"/>
        <v>-81.429038345017446</v>
      </c>
      <c r="P753" s="310">
        <f t="shared" ca="1" si="337"/>
        <v>23</v>
      </c>
      <c r="Q753" s="304">
        <f t="shared" ca="1" si="338"/>
        <v>0</v>
      </c>
      <c r="R753" s="306">
        <f t="shared" ca="1" si="339"/>
        <v>0</v>
      </c>
      <c r="S753" s="307">
        <f t="shared" ca="1" si="340"/>
        <v>5.6519999999999806</v>
      </c>
      <c r="T753" s="304">
        <f t="shared" ca="1" si="320"/>
        <v>55.446119999999816</v>
      </c>
      <c r="U753" s="311">
        <f t="shared" ca="1" si="321"/>
        <v>0</v>
      </c>
      <c r="V753" s="306">
        <f t="shared" ca="1" si="322"/>
        <v>0.92642258455082027</v>
      </c>
      <c r="W753" s="304">
        <f t="shared" ca="1" si="323"/>
        <v>24.693198877290573</v>
      </c>
      <c r="Y753" s="314" t="str">
        <f t="shared" ca="1" si="341"/>
        <v/>
      </c>
      <c r="Z753" s="315" t="str">
        <f t="shared" ca="1" si="342"/>
        <v/>
      </c>
      <c r="AA753" s="316" t="str">
        <f t="shared" ca="1" si="343"/>
        <v/>
      </c>
      <c r="AC753" s="310" t="e">
        <f t="shared" ca="1" si="344"/>
        <v>#N/A</v>
      </c>
      <c r="AD753" s="323" t="e">
        <f t="shared" ca="1" si="345"/>
        <v>#N/A</v>
      </c>
      <c r="AE753" s="324" t="e">
        <f t="shared" ca="1" si="324"/>
        <v>#N/A</v>
      </c>
      <c r="AG753" s="306">
        <f t="shared" ca="1" si="346"/>
        <v>5.3722559394844662</v>
      </c>
      <c r="AH753" s="304">
        <f t="shared" ca="1" si="347"/>
        <v>-4.3264823199309586</v>
      </c>
    </row>
    <row r="754" spans="1:34" x14ac:dyDescent="0.2">
      <c r="A754" s="347">
        <f t="shared" ca="1" si="325"/>
        <v>0.1</v>
      </c>
      <c r="B754" s="304">
        <f t="shared" ca="1" si="326"/>
        <v>43.00000000000027</v>
      </c>
      <c r="D754" s="306">
        <f t="shared" ca="1" si="327"/>
        <v>-0.65112019404226307</v>
      </c>
      <c r="E754" s="307">
        <f t="shared" ca="1" si="328"/>
        <v>-5.4898608918935441</v>
      </c>
      <c r="F754" s="304">
        <f t="shared" ca="1" si="329"/>
        <v>5.5283388209689006</v>
      </c>
      <c r="G754" s="306">
        <f t="shared" ca="1" si="330"/>
        <v>18.845824730767095</v>
      </c>
      <c r="H754" s="307">
        <f t="shared" ca="1" si="331"/>
        <v>-126.0217915295315</v>
      </c>
      <c r="I754" s="304">
        <f t="shared" ca="1" si="332"/>
        <v>127.42314173687403</v>
      </c>
      <c r="J754" s="306">
        <f t="shared" ca="1" si="333"/>
        <v>1182.9008168854409</v>
      </c>
      <c r="K754" s="307">
        <f t="shared" ca="1" si="334"/>
        <v>2763.0530579532947</v>
      </c>
      <c r="L754" s="304">
        <f t="shared" ca="1" si="319"/>
        <v>3005.6141707899396</v>
      </c>
      <c r="M754" s="306">
        <f t="shared" ca="1" si="335"/>
        <v>-1.4223522044855696</v>
      </c>
      <c r="N754" s="304">
        <f t="shared" ca="1" si="336"/>
        <v>-81.494778298151786</v>
      </c>
      <c r="P754" s="310">
        <f t="shared" ca="1" si="337"/>
        <v>23</v>
      </c>
      <c r="Q754" s="304">
        <f t="shared" ca="1" si="338"/>
        <v>0</v>
      </c>
      <c r="R754" s="306">
        <f t="shared" ca="1" si="339"/>
        <v>0</v>
      </c>
      <c r="S754" s="307">
        <f t="shared" ca="1" si="340"/>
        <v>5.6519999999999806</v>
      </c>
      <c r="T754" s="304">
        <f t="shared" ca="1" si="320"/>
        <v>55.446119999999816</v>
      </c>
      <c r="U754" s="311">
        <f t="shared" ca="1" si="321"/>
        <v>0</v>
      </c>
      <c r="V754" s="306">
        <f t="shared" ca="1" si="322"/>
        <v>0.92761107001987397</v>
      </c>
      <c r="W754" s="304">
        <f t="shared" ca="1" si="323"/>
        <v>24.933118688169987</v>
      </c>
      <c r="Y754" s="314" t="str">
        <f t="shared" ca="1" si="341"/>
        <v/>
      </c>
      <c r="Z754" s="315" t="str">
        <f t="shared" ca="1" si="342"/>
        <v/>
      </c>
      <c r="AA754" s="316" t="str">
        <f t="shared" ca="1" si="343"/>
        <v/>
      </c>
      <c r="AC754" s="310">
        <f t="shared" ca="1" si="344"/>
        <v>43.00000000000027</v>
      </c>
      <c r="AD754" s="323">
        <f t="shared" ca="1" si="345"/>
        <v>1182.9008168854409</v>
      </c>
      <c r="AE754" s="324" t="e">
        <f t="shared" ca="1" si="324"/>
        <v>#N/A</v>
      </c>
      <c r="AG754" s="306">
        <f t="shared" ca="1" si="346"/>
        <v>5.3315111668777337</v>
      </c>
      <c r="AH754" s="304">
        <f t="shared" ca="1" si="347"/>
        <v>-4.3689311530945965</v>
      </c>
    </row>
    <row r="755" spans="1:34" x14ac:dyDescent="0.2">
      <c r="A755" s="347">
        <f t="shared" ca="1" si="325"/>
        <v>0.1</v>
      </c>
      <c r="B755" s="304">
        <f t="shared" ca="1" si="326"/>
        <v>43.100000000000271</v>
      </c>
      <c r="D755" s="306">
        <f t="shared" ca="1" si="327"/>
        <v>-0.65244106834702342</v>
      </c>
      <c r="E755" s="307">
        <f t="shared" ca="1" si="328"/>
        <v>-5.4471348309155845</v>
      </c>
      <c r="F755" s="304">
        <f t="shared" ca="1" si="329"/>
        <v>5.486069377417639</v>
      </c>
      <c r="G755" s="306">
        <f t="shared" ca="1" si="330"/>
        <v>18.780580623932394</v>
      </c>
      <c r="H755" s="307">
        <f t="shared" ca="1" si="331"/>
        <v>-126.56650501262305</v>
      </c>
      <c r="I755" s="304">
        <f t="shared" ca="1" si="332"/>
        <v>127.9522973599238</v>
      </c>
      <c r="J755" s="306">
        <f t="shared" ca="1" si="333"/>
        <v>1184.7821371531759</v>
      </c>
      <c r="K755" s="307">
        <f t="shared" ca="1" si="334"/>
        <v>2750.423643126187</v>
      </c>
      <c r="L755" s="304">
        <f t="shared" ca="1" si="319"/>
        <v>2994.7518977679561</v>
      </c>
      <c r="M755" s="306">
        <f t="shared" ca="1" si="335"/>
        <v>-1.4234861386788675</v>
      </c>
      <c r="N755" s="304">
        <f t="shared" ca="1" si="336"/>
        <v>-81.559747941673322</v>
      </c>
      <c r="P755" s="310">
        <f t="shared" ca="1" si="337"/>
        <v>23</v>
      </c>
      <c r="Q755" s="304">
        <f t="shared" ca="1" si="338"/>
        <v>0</v>
      </c>
      <c r="R755" s="306">
        <f t="shared" ca="1" si="339"/>
        <v>0</v>
      </c>
      <c r="S755" s="307">
        <f t="shared" ca="1" si="340"/>
        <v>5.6519999999999806</v>
      </c>
      <c r="T755" s="304">
        <f t="shared" ca="1" si="320"/>
        <v>55.446119999999816</v>
      </c>
      <c r="U755" s="311">
        <f t="shared" ca="1" si="321"/>
        <v>0</v>
      </c>
      <c r="V755" s="306">
        <f t="shared" ca="1" si="322"/>
        <v>0.92880604636805764</v>
      </c>
      <c r="W755" s="304">
        <f t="shared" ca="1" si="323"/>
        <v>25.173017272273636</v>
      </c>
      <c r="Y755" s="314" t="str">
        <f t="shared" ca="1" si="341"/>
        <v/>
      </c>
      <c r="Z755" s="315" t="str">
        <f t="shared" ca="1" si="342"/>
        <v/>
      </c>
      <c r="AA755" s="316" t="str">
        <f t="shared" ca="1" si="343"/>
        <v/>
      </c>
      <c r="AC755" s="310" t="e">
        <f t="shared" ca="1" si="344"/>
        <v>#N/A</v>
      </c>
      <c r="AD755" s="323" t="e">
        <f t="shared" ca="1" si="345"/>
        <v>#N/A</v>
      </c>
      <c r="AE755" s="324" t="e">
        <f t="shared" ca="1" si="324"/>
        <v>#N/A</v>
      </c>
      <c r="AG755" s="306">
        <f t="shared" ca="1" si="346"/>
        <v>5.2907336209446205</v>
      </c>
      <c r="AH755" s="304">
        <f t="shared" ca="1" si="347"/>
        <v>-4.4113798103627166</v>
      </c>
    </row>
    <row r="756" spans="1:34" x14ac:dyDescent="0.2">
      <c r="A756" s="347">
        <f t="shared" ca="1" si="325"/>
        <v>0.1</v>
      </c>
      <c r="B756" s="304">
        <f t="shared" ca="1" si="326"/>
        <v>43.200000000000273</v>
      </c>
      <c r="D756" s="306">
        <f t="shared" ca="1" si="327"/>
        <v>-0.65372342517190707</v>
      </c>
      <c r="E756" s="307">
        <f t="shared" ca="1" si="328"/>
        <v>-5.4044126102548189</v>
      </c>
      <c r="F756" s="304">
        <f t="shared" ca="1" si="329"/>
        <v>5.4438065706360099</v>
      </c>
      <c r="G756" s="306">
        <f t="shared" ca="1" si="330"/>
        <v>18.715208281415205</v>
      </c>
      <c r="H756" s="307">
        <f t="shared" ca="1" si="331"/>
        <v>-127.10694627364853</v>
      </c>
      <c r="I756" s="304">
        <f t="shared" ca="1" si="332"/>
        <v>128.47737081692216</v>
      </c>
      <c r="J756" s="306">
        <f t="shared" ca="1" si="333"/>
        <v>1186.6569265984433</v>
      </c>
      <c r="K756" s="307">
        <f t="shared" ca="1" si="334"/>
        <v>2737.7399705618736</v>
      </c>
      <c r="L756" s="304">
        <f t="shared" ca="1" si="319"/>
        <v>2983.8523435076659</v>
      </c>
      <c r="M756" s="306">
        <f t="shared" ca="1" si="335"/>
        <v>-1.4246068748393492</v>
      </c>
      <c r="N756" s="304">
        <f t="shared" ca="1" si="336"/>
        <v>-81.623961393616625</v>
      </c>
      <c r="P756" s="310">
        <f t="shared" ca="1" si="337"/>
        <v>23</v>
      </c>
      <c r="Q756" s="304">
        <f t="shared" ca="1" si="338"/>
        <v>0</v>
      </c>
      <c r="R756" s="306">
        <f t="shared" ca="1" si="339"/>
        <v>0</v>
      </c>
      <c r="S756" s="307">
        <f t="shared" ca="1" si="340"/>
        <v>5.6519999999999806</v>
      </c>
      <c r="T756" s="304">
        <f t="shared" ca="1" si="320"/>
        <v>55.446119999999816</v>
      </c>
      <c r="U756" s="311">
        <f t="shared" ca="1" si="321"/>
        <v>0</v>
      </c>
      <c r="V756" s="306">
        <f t="shared" ca="1" si="322"/>
        <v>0.93000749254056847</v>
      </c>
      <c r="W756" s="304">
        <f t="shared" ca="1" si="323"/>
        <v>25.412874543014016</v>
      </c>
      <c r="Y756" s="314" t="str">
        <f t="shared" ca="1" si="341"/>
        <v/>
      </c>
      <c r="Z756" s="315" t="str">
        <f t="shared" ca="1" si="342"/>
        <v/>
      </c>
      <c r="AA756" s="316" t="str">
        <f t="shared" ca="1" si="343"/>
        <v/>
      </c>
      <c r="AC756" s="310" t="e">
        <f t="shared" ca="1" si="344"/>
        <v>#N/A</v>
      </c>
      <c r="AD756" s="323" t="e">
        <f t="shared" ca="1" si="345"/>
        <v>#N/A</v>
      </c>
      <c r="AE756" s="324" t="e">
        <f t="shared" ca="1" si="324"/>
        <v>#N/A</v>
      </c>
      <c r="AG756" s="306">
        <f t="shared" ca="1" si="346"/>
        <v>5.2499277003548581</v>
      </c>
      <c r="AH756" s="304">
        <f t="shared" ca="1" si="347"/>
        <v>-4.4538247120087977</v>
      </c>
    </row>
    <row r="757" spans="1:34" x14ac:dyDescent="0.2">
      <c r="A757" s="347">
        <f t="shared" ca="1" si="325"/>
        <v>0.1</v>
      </c>
      <c r="B757" s="304">
        <f t="shared" ca="1" si="326"/>
        <v>43.300000000000274</v>
      </c>
      <c r="D757" s="306">
        <f t="shared" ca="1" si="327"/>
        <v>-0.65496736876578066</v>
      </c>
      <c r="E757" s="307">
        <f t="shared" ca="1" si="328"/>
        <v>-5.3616978010137446</v>
      </c>
      <c r="F757" s="304">
        <f t="shared" ca="1" si="329"/>
        <v>5.4015539952446643</v>
      </c>
      <c r="G757" s="306">
        <f t="shared" ca="1" si="330"/>
        <v>18.649711544538626</v>
      </c>
      <c r="H757" s="307">
        <f t="shared" ca="1" si="331"/>
        <v>-127.64311605374991</v>
      </c>
      <c r="I757" s="304">
        <f t="shared" ca="1" si="332"/>
        <v>128.99835974385707</v>
      </c>
      <c r="J757" s="306">
        <f t="shared" ca="1" si="333"/>
        <v>1188.525172589741</v>
      </c>
      <c r="K757" s="307">
        <f t="shared" ca="1" si="334"/>
        <v>2725.0024674455035</v>
      </c>
      <c r="L757" s="304">
        <f t="shared" ca="1" si="319"/>
        <v>2972.9161665717311</v>
      </c>
      <c r="M757" s="306">
        <f t="shared" ca="1" si="335"/>
        <v>-1.4257146533399692</v>
      </c>
      <c r="N757" s="304">
        <f t="shared" ca="1" si="336"/>
        <v>-81.687432426337466</v>
      </c>
      <c r="P757" s="310">
        <f t="shared" ca="1" si="337"/>
        <v>23</v>
      </c>
      <c r="Q757" s="304">
        <f t="shared" ca="1" si="338"/>
        <v>0</v>
      </c>
      <c r="R757" s="306">
        <f t="shared" ca="1" si="339"/>
        <v>0</v>
      </c>
      <c r="S757" s="307">
        <f t="shared" ca="1" si="340"/>
        <v>5.6519999999999806</v>
      </c>
      <c r="T757" s="304">
        <f t="shared" ca="1" si="320"/>
        <v>55.446119999999816</v>
      </c>
      <c r="U757" s="311">
        <f t="shared" ca="1" si="321"/>
        <v>0</v>
      </c>
      <c r="V757" s="306">
        <f t="shared" ca="1" si="322"/>
        <v>0.93121538744360999</v>
      </c>
      <c r="W757" s="304">
        <f t="shared" ca="1" si="323"/>
        <v>25.652670562415654</v>
      </c>
      <c r="Y757" s="314" t="str">
        <f t="shared" ca="1" si="341"/>
        <v/>
      </c>
      <c r="Z757" s="315" t="str">
        <f t="shared" ca="1" si="342"/>
        <v/>
      </c>
      <c r="AA757" s="316" t="str">
        <f t="shared" ca="1" si="343"/>
        <v/>
      </c>
      <c r="AC757" s="310" t="e">
        <f t="shared" ca="1" si="344"/>
        <v>#N/A</v>
      </c>
      <c r="AD757" s="323" t="e">
        <f t="shared" ca="1" si="345"/>
        <v>#N/A</v>
      </c>
      <c r="AE757" s="324" t="e">
        <f t="shared" ca="1" si="324"/>
        <v>#N/A</v>
      </c>
      <c r="AG757" s="306">
        <f t="shared" ca="1" si="346"/>
        <v>5.2090977527761053</v>
      </c>
      <c r="AH757" s="304">
        <f t="shared" ca="1" si="347"/>
        <v>-4.4962623041426228</v>
      </c>
    </row>
    <row r="758" spans="1:34" x14ac:dyDescent="0.2">
      <c r="A758" s="347">
        <f t="shared" ca="1" si="325"/>
        <v>0.1</v>
      </c>
      <c r="B758" s="304">
        <f t="shared" ca="1" si="326"/>
        <v>43.400000000000276</v>
      </c>
      <c r="D758" s="306">
        <f t="shared" ca="1" si="327"/>
        <v>-0.65617300802820155</v>
      </c>
      <c r="E758" s="307">
        <f t="shared" ca="1" si="328"/>
        <v>-5.3189939479729444</v>
      </c>
      <c r="F758" s="304">
        <f t="shared" ca="1" si="329"/>
        <v>5.3593152207196759</v>
      </c>
      <c r="G758" s="306">
        <f t="shared" ca="1" si="330"/>
        <v>18.584094243735805</v>
      </c>
      <c r="H758" s="307">
        <f t="shared" ca="1" si="331"/>
        <v>-128.17501544854721</v>
      </c>
      <c r="I758" s="304">
        <f t="shared" ca="1" si="332"/>
        <v>129.51526220525275</v>
      </c>
      <c r="J758" s="306">
        <f t="shared" ca="1" si="333"/>
        <v>1190.3868628791547</v>
      </c>
      <c r="K758" s="307">
        <f t="shared" ca="1" si="334"/>
        <v>2712.2115608703884</v>
      </c>
      <c r="L758" s="304">
        <f t="shared" ca="1" si="319"/>
        <v>2961.9440295579971</v>
      </c>
      <c r="M758" s="306">
        <f t="shared" ca="1" si="335"/>
        <v>-1.4268097087014644</v>
      </c>
      <c r="N758" s="304">
        <f t="shared" ca="1" si="336"/>
        <v>-81.750174476884325</v>
      </c>
      <c r="P758" s="310">
        <f t="shared" ca="1" si="337"/>
        <v>23</v>
      </c>
      <c r="Q758" s="304">
        <f t="shared" ca="1" si="338"/>
        <v>0</v>
      </c>
      <c r="R758" s="306">
        <f t="shared" ca="1" si="339"/>
        <v>0</v>
      </c>
      <c r="S758" s="307">
        <f t="shared" ca="1" si="340"/>
        <v>5.6519999999999806</v>
      </c>
      <c r="T758" s="304">
        <f t="shared" ca="1" si="320"/>
        <v>55.446119999999816</v>
      </c>
      <c r="U758" s="311">
        <f t="shared" ca="1" si="321"/>
        <v>0</v>
      </c>
      <c r="V758" s="306">
        <f t="shared" ca="1" si="322"/>
        <v>0.93242970994596519</v>
      </c>
      <c r="W758" s="304">
        <f t="shared" ca="1" si="323"/>
        <v>25.892385543645869</v>
      </c>
      <c r="Y758" s="314" t="str">
        <f t="shared" ca="1" si="341"/>
        <v/>
      </c>
      <c r="Z758" s="315" t="str">
        <f t="shared" ca="1" si="342"/>
        <v/>
      </c>
      <c r="AA758" s="316" t="str">
        <f t="shared" ca="1" si="343"/>
        <v/>
      </c>
      <c r="AC758" s="310" t="e">
        <f t="shared" ca="1" si="344"/>
        <v>#N/A</v>
      </c>
      <c r="AD758" s="323" t="e">
        <f t="shared" ca="1" si="345"/>
        <v>#N/A</v>
      </c>
      <c r="AE758" s="324" t="e">
        <f t="shared" ca="1" si="324"/>
        <v>#N/A</v>
      </c>
      <c r="AG758" s="306">
        <f t="shared" ca="1" si="346"/>
        <v>5.16824807533271</v>
      </c>
      <c r="AH758" s="304">
        <f t="shared" ca="1" si="347"/>
        <v>-4.5386890591676829</v>
      </c>
    </row>
    <row r="759" spans="1:34" x14ac:dyDescent="0.2">
      <c r="A759" s="347">
        <f t="shared" ca="1" si="325"/>
        <v>0.1</v>
      </c>
      <c r="B759" s="304">
        <f t="shared" ca="1" si="326"/>
        <v>43.500000000000277</v>
      </c>
      <c r="D759" s="306">
        <f t="shared" ca="1" si="327"/>
        <v>-0.65734045644315597</v>
      </c>
      <c r="E759" s="307">
        <f t="shared" ca="1" si="328"/>
        <v>-5.2763045691367783</v>
      </c>
      <c r="F759" s="304">
        <f t="shared" ca="1" si="329"/>
        <v>5.3170937909698885</v>
      </c>
      <c r="G759" s="306">
        <f t="shared" ca="1" si="330"/>
        <v>18.518360198091489</v>
      </c>
      <c r="H759" s="307">
        <f t="shared" ca="1" si="331"/>
        <v>-128.70264590546088</v>
      </c>
      <c r="I759" s="304">
        <f t="shared" ca="1" si="332"/>
        <v>130.02807668920087</v>
      </c>
      <c r="J759" s="306">
        <f t="shared" ca="1" si="333"/>
        <v>1192.2419856012461</v>
      </c>
      <c r="K759" s="307">
        <f t="shared" ca="1" si="334"/>
        <v>2699.3676778026879</v>
      </c>
      <c r="L759" s="304">
        <f t="shared" ca="1" si="319"/>
        <v>2950.9365991488662</v>
      </c>
      <c r="M759" s="306">
        <f t="shared" ca="1" si="335"/>
        <v>-1.4278922697669558</v>
      </c>
      <c r="N759" s="304">
        <f t="shared" ca="1" si="336"/>
        <v>-81.812200657002165</v>
      </c>
      <c r="P759" s="310">
        <f t="shared" ca="1" si="337"/>
        <v>23</v>
      </c>
      <c r="Q759" s="304">
        <f t="shared" ca="1" si="338"/>
        <v>0</v>
      </c>
      <c r="R759" s="306">
        <f t="shared" ca="1" si="339"/>
        <v>0</v>
      </c>
      <c r="S759" s="307">
        <f t="shared" ca="1" si="340"/>
        <v>5.6519999999999806</v>
      </c>
      <c r="T759" s="304">
        <f t="shared" ca="1" si="320"/>
        <v>55.446119999999816</v>
      </c>
      <c r="U759" s="311">
        <f t="shared" ca="1" si="321"/>
        <v>0</v>
      </c>
      <c r="V759" s="306">
        <f t="shared" ca="1" si="322"/>
        <v>0.93365043888056121</v>
      </c>
      <c r="W759" s="304">
        <f t="shared" ca="1" si="323"/>
        <v>26.13199985349052</v>
      </c>
      <c r="Y759" s="314" t="str">
        <f t="shared" ca="1" si="341"/>
        <v/>
      </c>
      <c r="Z759" s="315" t="str">
        <f t="shared" ca="1" si="342"/>
        <v/>
      </c>
      <c r="AA759" s="316" t="str">
        <f t="shared" ca="1" si="343"/>
        <v/>
      </c>
      <c r="AC759" s="310" t="e">
        <f t="shared" ca="1" si="344"/>
        <v>#N/A</v>
      </c>
      <c r="AD759" s="323" t="e">
        <f t="shared" ca="1" si="345"/>
        <v>#N/A</v>
      </c>
      <c r="AE759" s="324" t="e">
        <f t="shared" ca="1" si="324"/>
        <v>#N/A</v>
      </c>
      <c r="AG759" s="306">
        <f t="shared" ca="1" si="346"/>
        <v>5.1273829150357395</v>
      </c>
      <c r="AH759" s="304">
        <f t="shared" ca="1" si="347"/>
        <v>-4.5811014762289384</v>
      </c>
    </row>
    <row r="760" spans="1:34" x14ac:dyDescent="0.2">
      <c r="A760" s="347">
        <f t="shared" ca="1" si="325"/>
        <v>0.1</v>
      </c>
      <c r="B760" s="304">
        <f t="shared" ca="1" si="326"/>
        <v>43.600000000000279</v>
      </c>
      <c r="D760" s="306">
        <f t="shared" ca="1" si="327"/>
        <v>-0.6584698320127188</v>
      </c>
      <c r="E760" s="307">
        <f t="shared" ca="1" si="328"/>
        <v>-5.2336331552890227</v>
      </c>
      <c r="F760" s="304">
        <f t="shared" ca="1" si="329"/>
        <v>5.2748932239251429</v>
      </c>
      <c r="G760" s="306">
        <f t="shared" ca="1" si="330"/>
        <v>18.452513214890217</v>
      </c>
      <c r="H760" s="307">
        <f t="shared" ca="1" si="331"/>
        <v>-129.22600922098979</v>
      </c>
      <c r="I760" s="304">
        <f t="shared" ca="1" si="332"/>
        <v>130.53680210243024</v>
      </c>
      <c r="J760" s="306">
        <f t="shared" ca="1" si="333"/>
        <v>1194.0905292718953</v>
      </c>
      <c r="K760" s="307">
        <f t="shared" ca="1" si="334"/>
        <v>2686.4712450463653</v>
      </c>
      <c r="L760" s="304">
        <f t="shared" ca="1" si="319"/>
        <v>2939.894546162805</v>
      </c>
      <c r="M760" s="306">
        <f t="shared" ca="1" si="335"/>
        <v>-1.4289625598704012</v>
      </c>
      <c r="N760" s="304">
        <f t="shared" ca="1" si="336"/>
        <v>-81.873523762784203</v>
      </c>
      <c r="P760" s="310">
        <f t="shared" ca="1" si="337"/>
        <v>23</v>
      </c>
      <c r="Q760" s="304">
        <f t="shared" ca="1" si="338"/>
        <v>0</v>
      </c>
      <c r="R760" s="306">
        <f t="shared" ca="1" si="339"/>
        <v>0</v>
      </c>
      <c r="S760" s="307">
        <f t="shared" ca="1" si="340"/>
        <v>5.6519999999999806</v>
      </c>
      <c r="T760" s="304">
        <f t="shared" ca="1" si="320"/>
        <v>55.446119999999816</v>
      </c>
      <c r="U760" s="311">
        <f t="shared" ca="1" si="321"/>
        <v>0</v>
      </c>
      <c r="V760" s="306">
        <f t="shared" ca="1" si="322"/>
        <v>0.93487755304603581</v>
      </c>
      <c r="W760" s="304">
        <f t="shared" ca="1" si="323"/>
        <v>26.371494014774509</v>
      </c>
      <c r="Y760" s="314" t="str">
        <f t="shared" ca="1" si="341"/>
        <v/>
      </c>
      <c r="Z760" s="315" t="str">
        <f t="shared" ca="1" si="342"/>
        <v/>
      </c>
      <c r="AA760" s="316" t="str">
        <f t="shared" ca="1" si="343"/>
        <v/>
      </c>
      <c r="AC760" s="310" t="e">
        <f t="shared" ca="1" si="344"/>
        <v>#N/A</v>
      </c>
      <c r="AD760" s="323" t="e">
        <f t="shared" ca="1" si="345"/>
        <v>#N/A</v>
      </c>
      <c r="AE760" s="324" t="e">
        <f t="shared" ca="1" si="324"/>
        <v>#N/A</v>
      </c>
      <c r="AG760" s="306">
        <f t="shared" ca="1" si="346"/>
        <v>5.0865064691861637</v>
      </c>
      <c r="AH760" s="304">
        <f t="shared" ca="1" si="347"/>
        <v>-4.6234960816508508</v>
      </c>
    </row>
    <row r="761" spans="1:34" x14ac:dyDescent="0.2">
      <c r="A761" s="347">
        <f t="shared" ca="1" si="325"/>
        <v>0.1</v>
      </c>
      <c r="B761" s="304">
        <f t="shared" ca="1" si="326"/>
        <v>43.70000000000028</v>
      </c>
      <c r="D761" s="306">
        <f t="shared" ca="1" si="327"/>
        <v>-0.65956125719061731</v>
      </c>
      <c r="E761" s="307">
        <f t="shared" ca="1" si="328"/>
        <v>-5.1909831695584856</v>
      </c>
      <c r="F761" s="304">
        <f t="shared" ca="1" si="329"/>
        <v>5.2327170111354508</v>
      </c>
      <c r="G761" s="306">
        <f t="shared" ca="1" si="330"/>
        <v>18.386557089171156</v>
      </c>
      <c r="H761" s="307">
        <f t="shared" ca="1" si="331"/>
        <v>-129.74510753794564</v>
      </c>
      <c r="I761" s="304">
        <f t="shared" ca="1" si="332"/>
        <v>131.04143776541233</v>
      </c>
      <c r="J761" s="306">
        <f t="shared" ca="1" si="333"/>
        <v>1195.9324827870985</v>
      </c>
      <c r="K761" s="307">
        <f t="shared" ca="1" si="334"/>
        <v>2673.5226892084183</v>
      </c>
      <c r="L761" s="304">
        <f t="shared" ca="1" si="319"/>
        <v>2928.8185456080287</v>
      </c>
      <c r="M761" s="306">
        <f t="shared" ca="1" si="335"/>
        <v>-1.430020796999147</v>
      </c>
      <c r="N761" s="304">
        <f t="shared" ca="1" si="336"/>
        <v>-81.934156283985374</v>
      </c>
      <c r="P761" s="310">
        <f t="shared" ca="1" si="337"/>
        <v>23</v>
      </c>
      <c r="Q761" s="304">
        <f t="shared" ca="1" si="338"/>
        <v>0</v>
      </c>
      <c r="R761" s="306">
        <f t="shared" ca="1" si="339"/>
        <v>0</v>
      </c>
      <c r="S761" s="307">
        <f t="shared" ca="1" si="340"/>
        <v>5.6519999999999806</v>
      </c>
      <c r="T761" s="304">
        <f t="shared" ca="1" si="320"/>
        <v>55.446119999999816</v>
      </c>
      <c r="U761" s="311">
        <f t="shared" ca="1" si="321"/>
        <v>0</v>
      </c>
      <c r="V761" s="306">
        <f t="shared" ca="1" si="322"/>
        <v>0.93611103120830053</v>
      </c>
      <c r="W761" s="304">
        <f t="shared" ca="1" si="323"/>
        <v>26.610848708726337</v>
      </c>
      <c r="Y761" s="314" t="str">
        <f t="shared" ca="1" si="341"/>
        <v/>
      </c>
      <c r="Z761" s="315" t="str">
        <f t="shared" ca="1" si="342"/>
        <v/>
      </c>
      <c r="AA761" s="316" t="str">
        <f t="shared" ca="1" si="343"/>
        <v/>
      </c>
      <c r="AC761" s="310" t="e">
        <f t="shared" ca="1" si="344"/>
        <v>#N/A</v>
      </c>
      <c r="AD761" s="323" t="e">
        <f t="shared" ca="1" si="345"/>
        <v>#N/A</v>
      </c>
      <c r="AE761" s="324" t="e">
        <f t="shared" ca="1" si="324"/>
        <v>#N/A</v>
      </c>
      <c r="AG761" s="306">
        <f t="shared" ca="1" si="346"/>
        <v>5.0456228857529677</v>
      </c>
      <c r="AH761" s="304">
        <f t="shared" ca="1" si="347"/>
        <v>-4.6658694293656406</v>
      </c>
    </row>
    <row r="762" spans="1:34" x14ac:dyDescent="0.2">
      <c r="A762" s="347">
        <f t="shared" ca="1" si="325"/>
        <v>0.1</v>
      </c>
      <c r="B762" s="304">
        <f t="shared" ca="1" si="326"/>
        <v>43.800000000000281</v>
      </c>
      <c r="D762" s="306">
        <f t="shared" ca="1" si="327"/>
        <v>-0.66061485881569237</v>
      </c>
      <c r="E762" s="307">
        <f t="shared" ca="1" si="328"/>
        <v>-5.1483580469947263</v>
      </c>
      <c r="F762" s="304">
        <f t="shared" ca="1" si="329"/>
        <v>5.1905686173812819</v>
      </c>
      <c r="G762" s="306">
        <f t="shared" ca="1" si="330"/>
        <v>18.320495603289586</v>
      </c>
      <c r="H762" s="307">
        <f t="shared" ca="1" si="331"/>
        <v>-130.2599433426451</v>
      </c>
      <c r="I762" s="304">
        <f t="shared" ca="1" si="332"/>
        <v>131.54198340750099</v>
      </c>
      <c r="J762" s="306">
        <f t="shared" ca="1" si="333"/>
        <v>1197.7678354217214</v>
      </c>
      <c r="K762" s="307">
        <f t="shared" ca="1" si="334"/>
        <v>2660.5224366643888</v>
      </c>
      <c r="L762" s="304">
        <f t="shared" ca="1" si="319"/>
        <v>2917.7092767384233</v>
      </c>
      <c r="M762" s="306">
        <f t="shared" ca="1" si="335"/>
        <v>-1.4310671939508155</v>
      </c>
      <c r="N762" s="304">
        <f t="shared" ca="1" si="336"/>
        <v>-81.994110413011342</v>
      </c>
      <c r="P762" s="310">
        <f t="shared" ca="1" si="337"/>
        <v>23</v>
      </c>
      <c r="Q762" s="304">
        <f t="shared" ca="1" si="338"/>
        <v>0</v>
      </c>
      <c r="R762" s="306">
        <f t="shared" ca="1" si="339"/>
        <v>0</v>
      </c>
      <c r="S762" s="307">
        <f t="shared" ca="1" si="340"/>
        <v>5.6519999999999806</v>
      </c>
      <c r="T762" s="304">
        <f t="shared" ca="1" si="320"/>
        <v>55.446119999999816</v>
      </c>
      <c r="U762" s="311">
        <f t="shared" ca="1" si="321"/>
        <v>0</v>
      </c>
      <c r="V762" s="306">
        <f t="shared" ca="1" si="322"/>
        <v>0.93735085210210012</v>
      </c>
      <c r="W762" s="304">
        <f t="shared" ca="1" si="323"/>
        <v>26.850044777286769</v>
      </c>
      <c r="Y762" s="314" t="str">
        <f t="shared" ca="1" si="341"/>
        <v/>
      </c>
      <c r="Z762" s="315" t="str">
        <f t="shared" ca="1" si="342"/>
        <v/>
      </c>
      <c r="AA762" s="316" t="str">
        <f t="shared" ca="1" si="343"/>
        <v/>
      </c>
      <c r="AC762" s="310" t="e">
        <f t="shared" ca="1" si="344"/>
        <v>#N/A</v>
      </c>
      <c r="AD762" s="323" t="e">
        <f t="shared" ca="1" si="345"/>
        <v>#N/A</v>
      </c>
      <c r="AE762" s="324" t="e">
        <f t="shared" ca="1" si="324"/>
        <v>#N/A</v>
      </c>
      <c r="AG762" s="306">
        <f t="shared" ca="1" si="346"/>
        <v>5.0047362637279553</v>
      </c>
      <c r="AH762" s="304">
        <f t="shared" ca="1" si="347"/>
        <v>-4.7082181013316395</v>
      </c>
    </row>
    <row r="763" spans="1:34" x14ac:dyDescent="0.2">
      <c r="A763" s="347">
        <f t="shared" ca="1" si="325"/>
        <v>0.1</v>
      </c>
      <c r="B763" s="304">
        <f t="shared" ca="1" si="326"/>
        <v>43.900000000000283</v>
      </c>
      <c r="D763" s="306">
        <f t="shared" ca="1" si="327"/>
        <v>-0.66163076804527876</v>
      </c>
      <c r="E763" s="307">
        <f t="shared" ca="1" si="328"/>
        <v>-5.105761194153847</v>
      </c>
      <c r="F763" s="304">
        <f t="shared" ca="1" si="329"/>
        <v>5.1484514802949732</v>
      </c>
      <c r="G763" s="306">
        <f t="shared" ca="1" si="330"/>
        <v>18.254332526485058</v>
      </c>
      <c r="H763" s="307">
        <f t="shared" ca="1" si="331"/>
        <v>-130.77051946206049</v>
      </c>
      <c r="I763" s="304">
        <f t="shared" ca="1" si="332"/>
        <v>132.03843916210397</v>
      </c>
      <c r="J763" s="306">
        <f t="shared" ca="1" si="333"/>
        <v>1199.5965768282101</v>
      </c>
      <c r="K763" s="307">
        <f t="shared" ca="1" si="334"/>
        <v>2647.4709135241537</v>
      </c>
      <c r="L763" s="304">
        <f t="shared" ca="1" si="319"/>
        <v>2906.5674231117323</v>
      </c>
      <c r="M763" s="306">
        <f t="shared" ca="1" si="335"/>
        <v>-1.4321019584847563</v>
      </c>
      <c r="N763" s="304">
        <f t="shared" ca="1" si="336"/>
        <v>-82.05339805359597</v>
      </c>
      <c r="P763" s="310">
        <f t="shared" ca="1" si="337"/>
        <v>23</v>
      </c>
      <c r="Q763" s="304">
        <f t="shared" ca="1" si="338"/>
        <v>0</v>
      </c>
      <c r="R763" s="306">
        <f t="shared" ca="1" si="339"/>
        <v>0</v>
      </c>
      <c r="S763" s="307">
        <f t="shared" ca="1" si="340"/>
        <v>5.6519999999999806</v>
      </c>
      <c r="T763" s="304">
        <f t="shared" ca="1" si="320"/>
        <v>55.446119999999816</v>
      </c>
      <c r="U763" s="311">
        <f t="shared" ca="1" si="321"/>
        <v>0</v>
      </c>
      <c r="V763" s="306">
        <f t="shared" ca="1" si="322"/>
        <v>0.93859699443257416</v>
      </c>
      <c r="W763" s="304">
        <f t="shared" ca="1" si="323"/>
        <v>27.089063225361169</v>
      </c>
      <c r="Y763" s="314" t="str">
        <f t="shared" ca="1" si="341"/>
        <v/>
      </c>
      <c r="Z763" s="315" t="str">
        <f t="shared" ca="1" si="342"/>
        <v/>
      </c>
      <c r="AA763" s="316" t="str">
        <f t="shared" ca="1" si="343"/>
        <v/>
      </c>
      <c r="AC763" s="310" t="e">
        <f t="shared" ca="1" si="344"/>
        <v>#N/A</v>
      </c>
      <c r="AD763" s="323" t="e">
        <f t="shared" ca="1" si="345"/>
        <v>#N/A</v>
      </c>
      <c r="AE763" s="324" t="e">
        <f t="shared" ca="1" si="324"/>
        <v>#N/A</v>
      </c>
      <c r="AG763" s="306">
        <f t="shared" ca="1" si="346"/>
        <v>4.9638506534587332</v>
      </c>
      <c r="AH763" s="304">
        <f t="shared" ca="1" si="347"/>
        <v>-4.7505387079417662</v>
      </c>
    </row>
    <row r="764" spans="1:34" x14ac:dyDescent="0.2">
      <c r="A764" s="347">
        <f t="shared" ca="1" si="325"/>
        <v>0.1</v>
      </c>
      <c r="B764" s="304">
        <f t="shared" ca="1" si="326"/>
        <v>44.000000000000284</v>
      </c>
      <c r="D764" s="306">
        <f t="shared" ca="1" si="327"/>
        <v>-0.6626091202884884</v>
      </c>
      <c r="E764" s="307">
        <f t="shared" ca="1" si="328"/>
        <v>-5.0631959886944564</v>
      </c>
      <c r="F764" s="304">
        <f t="shared" ca="1" si="329"/>
        <v>5.106369009993414</v>
      </c>
      <c r="G764" s="306">
        <f t="shared" ca="1" si="330"/>
        <v>18.188071614456209</v>
      </c>
      <c r="H764" s="307">
        <f t="shared" ca="1" si="331"/>
        <v>-131.27683906092994</v>
      </c>
      <c r="I764" s="304">
        <f t="shared" ca="1" si="332"/>
        <v>132.53080556188397</v>
      </c>
      <c r="J764" s="306">
        <f t="shared" ca="1" si="333"/>
        <v>1201.4186970352571</v>
      </c>
      <c r="K764" s="307">
        <f t="shared" ca="1" si="334"/>
        <v>2634.3685455980044</v>
      </c>
      <c r="L764" s="304">
        <f t="shared" ca="1" si="319"/>
        <v>2895.3936726500665</v>
      </c>
      <c r="M764" s="306">
        <f t="shared" ca="1" si="335"/>
        <v>-1.433125293468275</v>
      </c>
      <c r="N764" s="304">
        <f t="shared" ca="1" si="336"/>
        <v>-82.112030829179687</v>
      </c>
      <c r="P764" s="310">
        <f t="shared" ca="1" si="337"/>
        <v>23</v>
      </c>
      <c r="Q764" s="304">
        <f t="shared" ca="1" si="338"/>
        <v>0</v>
      </c>
      <c r="R764" s="306">
        <f t="shared" ca="1" si="339"/>
        <v>0</v>
      </c>
      <c r="S764" s="307">
        <f t="shared" ca="1" si="340"/>
        <v>5.6519999999999806</v>
      </c>
      <c r="T764" s="304">
        <f t="shared" ca="1" si="320"/>
        <v>55.446119999999816</v>
      </c>
      <c r="U764" s="311">
        <f t="shared" ca="1" si="321"/>
        <v>0</v>
      </c>
      <c r="V764" s="306">
        <f t="shared" ca="1" si="322"/>
        <v>0.939849436876809</v>
      </c>
      <c r="W764" s="304">
        <f t="shared" ca="1" si="323"/>
        <v>27.327885223014952</v>
      </c>
      <c r="Y764" s="314" t="str">
        <f t="shared" ca="1" si="341"/>
        <v/>
      </c>
      <c r="Z764" s="315" t="str">
        <f t="shared" ca="1" si="342"/>
        <v/>
      </c>
      <c r="AA764" s="316" t="str">
        <f t="shared" ca="1" si="343"/>
        <v/>
      </c>
      <c r="AC764" s="310">
        <f t="shared" ca="1" si="344"/>
        <v>44.000000000000284</v>
      </c>
      <c r="AD764" s="323">
        <f t="shared" ca="1" si="345"/>
        <v>1201.4186970352571</v>
      </c>
      <c r="AE764" s="324" t="e">
        <f t="shared" ca="1" si="324"/>
        <v>#N/A</v>
      </c>
      <c r="AG764" s="306">
        <f t="shared" ca="1" si="346"/>
        <v>4.9229700569614749</v>
      </c>
      <c r="AH764" s="304">
        <f t="shared" ca="1" si="347"/>
        <v>-4.7928278884220212</v>
      </c>
    </row>
    <row r="765" spans="1:34" x14ac:dyDescent="0.2">
      <c r="A765" s="347">
        <f t="shared" ca="1" si="325"/>
        <v>0.1</v>
      </c>
      <c r="B765" s="304">
        <f t="shared" ca="1" si="326"/>
        <v>44.100000000000286</v>
      </c>
      <c r="D765" s="306">
        <f t="shared" ca="1" si="327"/>
        <v>-0.66355005513940979</v>
      </c>
      <c r="E765" s="307">
        <f t="shared" ca="1" si="328"/>
        <v>-5.0206657789838527</v>
      </c>
      <c r="F765" s="304">
        <f t="shared" ca="1" si="329"/>
        <v>5.0643245887220782</v>
      </c>
      <c r="G765" s="306">
        <f t="shared" ca="1" si="330"/>
        <v>18.121716608942268</v>
      </c>
      <c r="H765" s="307">
        <f t="shared" ca="1" si="331"/>
        <v>-131.77890563882832</v>
      </c>
      <c r="I765" s="304">
        <f t="shared" ca="1" si="332"/>
        <v>133.01908353398784</v>
      </c>
      <c r="J765" s="306">
        <f t="shared" ca="1" si="333"/>
        <v>1203.234186446427</v>
      </c>
      <c r="K765" s="307">
        <f t="shared" ca="1" si="334"/>
        <v>2621.2157583630164</v>
      </c>
      <c r="L765" s="304">
        <f t="shared" ca="1" si="319"/>
        <v>2884.1887177027784</v>
      </c>
      <c r="M765" s="306">
        <f t="shared" ca="1" si="335"/>
        <v>-1.4341373970178501</v>
      </c>
      <c r="N765" s="304">
        <f t="shared" ca="1" si="336"/>
        <v>-82.170020091000552</v>
      </c>
      <c r="P765" s="310">
        <f t="shared" ca="1" si="337"/>
        <v>23</v>
      </c>
      <c r="Q765" s="304">
        <f t="shared" ca="1" si="338"/>
        <v>0</v>
      </c>
      <c r="R765" s="306">
        <f t="shared" ca="1" si="339"/>
        <v>0</v>
      </c>
      <c r="S765" s="307">
        <f t="shared" ca="1" si="340"/>
        <v>5.6519999999999806</v>
      </c>
      <c r="T765" s="304">
        <f t="shared" ca="1" si="320"/>
        <v>55.446119999999816</v>
      </c>
      <c r="U765" s="311">
        <f t="shared" ca="1" si="321"/>
        <v>0</v>
      </c>
      <c r="V765" s="306">
        <f t="shared" ca="1" si="322"/>
        <v>0.94110815808539383</v>
      </c>
      <c r="W765" s="304">
        <f t="shared" ca="1" si="323"/>
        <v>27.566492107612262</v>
      </c>
      <c r="Y765" s="314" t="str">
        <f t="shared" ca="1" si="341"/>
        <v/>
      </c>
      <c r="Z765" s="315" t="str">
        <f t="shared" ca="1" si="342"/>
        <v/>
      </c>
      <c r="AA765" s="316" t="str">
        <f t="shared" ca="1" si="343"/>
        <v/>
      </c>
      <c r="AC765" s="310" t="e">
        <f t="shared" ca="1" si="344"/>
        <v>#N/A</v>
      </c>
      <c r="AD765" s="323" t="e">
        <f t="shared" ca="1" si="345"/>
        <v>#N/A</v>
      </c>
      <c r="AE765" s="324" t="e">
        <f t="shared" ca="1" si="324"/>
        <v>#N/A</v>
      </c>
      <c r="AG765" s="306">
        <f t="shared" ca="1" si="346"/>
        <v>4.8820984282149125</v>
      </c>
      <c r="AH765" s="304">
        <f t="shared" ca="1" si="347"/>
        <v>-4.8350823112199306</v>
      </c>
    </row>
    <row r="766" spans="1:34" x14ac:dyDescent="0.2">
      <c r="A766" s="347">
        <f t="shared" ca="1" si="325"/>
        <v>0.1</v>
      </c>
      <c r="B766" s="304">
        <f t="shared" ca="1" si="326"/>
        <v>44.200000000000287</v>
      </c>
      <c r="D766" s="306">
        <f t="shared" ca="1" si="327"/>
        <v>-0.66445371631021677</v>
      </c>
      <c r="E766" s="307">
        <f t="shared" ca="1" si="328"/>
        <v>-4.9781738837144518</v>
      </c>
      <c r="F766" s="304">
        <f t="shared" ca="1" si="329"/>
        <v>5.0223215705105027</v>
      </c>
      <c r="G766" s="306">
        <f t="shared" ca="1" si="330"/>
        <v>18.055271237311246</v>
      </c>
      <c r="H766" s="307">
        <f t="shared" ca="1" si="331"/>
        <v>-132.27672302719978</v>
      </c>
      <c r="I766" s="304">
        <f t="shared" ca="1" si="332"/>
        <v>133.50327439530238</v>
      </c>
      <c r="J766" s="306">
        <f t="shared" ca="1" si="333"/>
        <v>1205.0430358387396</v>
      </c>
      <c r="K766" s="307">
        <f t="shared" ca="1" si="334"/>
        <v>2608.012976929715</v>
      </c>
      <c r="L766" s="304">
        <f t="shared" ca="1" si="319"/>
        <v>2872.9532551117572</v>
      </c>
      <c r="M766" s="306">
        <f t="shared" ca="1" si="335"/>
        <v>-1.4351384626355339</v>
      </c>
      <c r="N766" s="304">
        <f t="shared" ca="1" si="336"/>
        <v>-82.227376925909482</v>
      </c>
      <c r="P766" s="310">
        <f t="shared" ca="1" si="337"/>
        <v>23</v>
      </c>
      <c r="Q766" s="304">
        <f t="shared" ca="1" si="338"/>
        <v>0</v>
      </c>
      <c r="R766" s="306">
        <f t="shared" ca="1" si="339"/>
        <v>0</v>
      </c>
      <c r="S766" s="307">
        <f t="shared" ca="1" si="340"/>
        <v>5.6519999999999806</v>
      </c>
      <c r="T766" s="304">
        <f t="shared" ca="1" si="320"/>
        <v>55.446119999999816</v>
      </c>
      <c r="U766" s="311">
        <f t="shared" ca="1" si="321"/>
        <v>0</v>
      </c>
      <c r="V766" s="306">
        <f t="shared" ca="1" si="322"/>
        <v>0.94237313668396749</v>
      </c>
      <c r="W766" s="304">
        <f t="shared" ca="1" si="323"/>
        <v>27.804865385897489</v>
      </c>
      <c r="Y766" s="314" t="str">
        <f t="shared" ca="1" si="341"/>
        <v/>
      </c>
      <c r="Z766" s="315" t="str">
        <f t="shared" ca="1" si="342"/>
        <v/>
      </c>
      <c r="AA766" s="316" t="str">
        <f t="shared" ca="1" si="343"/>
        <v/>
      </c>
      <c r="AC766" s="310" t="e">
        <f t="shared" ca="1" si="344"/>
        <v>#N/A</v>
      </c>
      <c r="AD766" s="323" t="e">
        <f t="shared" ca="1" si="345"/>
        <v>#N/A</v>
      </c>
      <c r="AE766" s="324" t="e">
        <f t="shared" ca="1" si="324"/>
        <v>#N/A</v>
      </c>
      <c r="AG766" s="306">
        <f t="shared" ca="1" si="346"/>
        <v>4.8412396734368617</v>
      </c>
      <c r="AH766" s="304">
        <f t="shared" ca="1" si="347"/>
        <v>-4.8772986743829367</v>
      </c>
    </row>
    <row r="767" spans="1:34" x14ac:dyDescent="0.2">
      <c r="A767" s="347">
        <f t="shared" ca="1" si="325"/>
        <v>0.1</v>
      </c>
      <c r="B767" s="304">
        <f t="shared" ca="1" si="326"/>
        <v>44.300000000000288</v>
      </c>
      <c r="D767" s="306">
        <f t="shared" ca="1" si="327"/>
        <v>-0.66532025156419883</v>
      </c>
      <c r="E767" s="307">
        <f t="shared" ca="1" si="328"/>
        <v>-4.9357235915304818</v>
      </c>
      <c r="F767" s="304">
        <f t="shared" ca="1" si="329"/>
        <v>4.9803632808392608</v>
      </c>
      <c r="G767" s="306">
        <f t="shared" ca="1" si="330"/>
        <v>17.988739212154826</v>
      </c>
      <c r="H767" s="307">
        <f t="shared" ca="1" si="331"/>
        <v>-132.77029538635281</v>
      </c>
      <c r="I767" s="304">
        <f t="shared" ca="1" si="332"/>
        <v>133.98337984773445</v>
      </c>
      <c r="J767" s="306">
        <f t="shared" ca="1" si="333"/>
        <v>1206.845236361213</v>
      </c>
      <c r="K767" s="307">
        <f t="shared" ca="1" si="334"/>
        <v>2594.7606260090374</v>
      </c>
      <c r="L767" s="304">
        <f t="shared" ca="1" si="319"/>
        <v>2861.6879862791757</v>
      </c>
      <c r="M767" s="306">
        <f t="shared" ca="1" si="335"/>
        <v>-1.4361286793407231</v>
      </c>
      <c r="N767" s="304">
        <f t="shared" ca="1" si="336"/>
        <v>-82.28411216392017</v>
      </c>
      <c r="P767" s="310">
        <f t="shared" ca="1" si="337"/>
        <v>23</v>
      </c>
      <c r="Q767" s="304">
        <f t="shared" ca="1" si="338"/>
        <v>0</v>
      </c>
      <c r="R767" s="306">
        <f t="shared" ca="1" si="339"/>
        <v>0</v>
      </c>
      <c r="S767" s="307">
        <f t="shared" ca="1" si="340"/>
        <v>5.6519999999999806</v>
      </c>
      <c r="T767" s="304">
        <f t="shared" ca="1" si="320"/>
        <v>55.446119999999816</v>
      </c>
      <c r="U767" s="311">
        <f t="shared" ca="1" si="321"/>
        <v>0</v>
      </c>
      <c r="V767" s="306">
        <f t="shared" ca="1" si="322"/>
        <v>0.94364435127476642</v>
      </c>
      <c r="W767" s="304">
        <f t="shared" ca="1" si="323"/>
        <v>28.042986736019273</v>
      </c>
      <c r="Y767" s="314" t="str">
        <f t="shared" ca="1" si="341"/>
        <v/>
      </c>
      <c r="Z767" s="315" t="str">
        <f t="shared" ca="1" si="342"/>
        <v/>
      </c>
      <c r="AA767" s="316" t="str">
        <f t="shared" ca="1" si="343"/>
        <v/>
      </c>
      <c r="AC767" s="310" t="e">
        <f t="shared" ca="1" si="344"/>
        <v>#N/A</v>
      </c>
      <c r="AD767" s="323" t="e">
        <f t="shared" ca="1" si="345"/>
        <v>#N/A</v>
      </c>
      <c r="AE767" s="324" t="e">
        <f t="shared" ca="1" si="324"/>
        <v>#N/A</v>
      </c>
      <c r="AG767" s="306">
        <f t="shared" ca="1" si="346"/>
        <v>4.8003976513446167</v>
      </c>
      <c r="AH767" s="304">
        <f t="shared" ca="1" si="347"/>
        <v>-4.919473705926678</v>
      </c>
    </row>
    <row r="768" spans="1:34" x14ac:dyDescent="0.2">
      <c r="A768" s="347">
        <f t="shared" ca="1" si="325"/>
        <v>0.1</v>
      </c>
      <c r="B768" s="304">
        <f t="shared" ca="1" si="326"/>
        <v>44.40000000000029</v>
      </c>
      <c r="D768" s="306">
        <f t="shared" ca="1" si="327"/>
        <v>-0.66614981264872331</v>
      </c>
      <c r="E768" s="307">
        <f t="shared" ca="1" si="328"/>
        <v>-4.8933181606650287</v>
      </c>
      <c r="F768" s="304">
        <f t="shared" ca="1" si="329"/>
        <v>4.9384530163185829</v>
      </c>
      <c r="G768" s="306">
        <f t="shared" ca="1" si="330"/>
        <v>17.922124230889953</v>
      </c>
      <c r="H768" s="307">
        <f t="shared" ca="1" si="331"/>
        <v>-133.25962720241932</v>
      </c>
      <c r="I768" s="304">
        <f t="shared" ca="1" si="332"/>
        <v>134.45940197351479</v>
      </c>
      <c r="J768" s="306">
        <f t="shared" ca="1" si="333"/>
        <v>1208.6407795333653</v>
      </c>
      <c r="K768" s="307">
        <f t="shared" ca="1" si="334"/>
        <v>2581.459129879599</v>
      </c>
      <c r="L768" s="304">
        <f t="shared" ca="1" si="319"/>
        <v>2850.3936172377594</v>
      </c>
      <c r="M768" s="306">
        <f t="shared" ca="1" si="335"/>
        <v>-1.437108231797487</v>
      </c>
      <c r="N768" s="304">
        <f t="shared" ca="1" si="336"/>
        <v>-82.340236385504426</v>
      </c>
      <c r="P768" s="310">
        <f t="shared" ca="1" si="337"/>
        <v>23</v>
      </c>
      <c r="Q768" s="304">
        <f t="shared" ca="1" si="338"/>
        <v>0</v>
      </c>
      <c r="R768" s="306">
        <f t="shared" ca="1" si="339"/>
        <v>0</v>
      </c>
      <c r="S768" s="307">
        <f t="shared" ca="1" si="340"/>
        <v>5.6519999999999806</v>
      </c>
      <c r="T768" s="304">
        <f t="shared" ca="1" si="320"/>
        <v>55.446119999999816</v>
      </c>
      <c r="U768" s="311">
        <f t="shared" ca="1" si="321"/>
        <v>0</v>
      </c>
      <c r="V768" s="306">
        <f t="shared" ca="1" si="322"/>
        <v>0.9449217804381651</v>
      </c>
      <c r="W768" s="304">
        <f t="shared" ca="1" si="323"/>
        <v>28.280838009497007</v>
      </c>
      <c r="Y768" s="314" t="str">
        <f t="shared" ca="1" si="341"/>
        <v/>
      </c>
      <c r="Z768" s="315" t="str">
        <f t="shared" ca="1" si="342"/>
        <v/>
      </c>
      <c r="AA768" s="316" t="str">
        <f t="shared" ca="1" si="343"/>
        <v/>
      </c>
      <c r="AC768" s="310" t="e">
        <f t="shared" ca="1" si="344"/>
        <v>#N/A</v>
      </c>
      <c r="AD768" s="323" t="e">
        <f t="shared" ca="1" si="345"/>
        <v>#N/A</v>
      </c>
      <c r="AE768" s="324" t="e">
        <f t="shared" ca="1" si="324"/>
        <v>#N/A</v>
      </c>
      <c r="AG768" s="306">
        <f t="shared" ca="1" si="346"/>
        <v>4.7595761734004345</v>
      </c>
      <c r="AH768" s="304">
        <f t="shared" ca="1" si="347"/>
        <v>-4.9616041641930941</v>
      </c>
    </row>
    <row r="769" spans="1:34" x14ac:dyDescent="0.2">
      <c r="A769" s="347">
        <f t="shared" ca="1" si="325"/>
        <v>0.1</v>
      </c>
      <c r="B769" s="304">
        <f t="shared" ca="1" si="326"/>
        <v>44.500000000000291</v>
      </c>
      <c r="D769" s="306">
        <f t="shared" ca="1" si="327"/>
        <v>-0.66694255522811252</v>
      </c>
      <c r="E769" s="307">
        <f t="shared" ca="1" si="328"/>
        <v>-4.8509608185874109</v>
      </c>
      <c r="F769" s="304">
        <f t="shared" ca="1" si="329"/>
        <v>4.8965940443786486</v>
      </c>
      <c r="G769" s="306">
        <f t="shared" ca="1" si="330"/>
        <v>17.855429975367141</v>
      </c>
      <c r="H769" s="307">
        <f t="shared" ca="1" si="331"/>
        <v>-133.74472328427805</v>
      </c>
      <c r="I769" s="304">
        <f t="shared" ca="1" si="332"/>
        <v>134.93134323052354</v>
      </c>
      <c r="J769" s="306">
        <f t="shared" ca="1" si="333"/>
        <v>1210.4296572436781</v>
      </c>
      <c r="K769" s="307">
        <f t="shared" ca="1" si="334"/>
        <v>2568.1089123552642</v>
      </c>
      <c r="L769" s="304">
        <f t="shared" ca="1" si="319"/>
        <v>2839.0708587236049</v>
      </c>
      <c r="M769" s="306">
        <f t="shared" ca="1" si="335"/>
        <v>-1.4380773004376171</v>
      </c>
      <c r="N769" s="304">
        <f t="shared" ca="1" si="336"/>
        <v>-82.395759928642349</v>
      </c>
      <c r="P769" s="310">
        <f t="shared" ca="1" si="337"/>
        <v>23</v>
      </c>
      <c r="Q769" s="304">
        <f t="shared" ca="1" si="338"/>
        <v>0</v>
      </c>
      <c r="R769" s="306">
        <f t="shared" ca="1" si="339"/>
        <v>0</v>
      </c>
      <c r="S769" s="307">
        <f t="shared" ca="1" si="340"/>
        <v>5.6519999999999806</v>
      </c>
      <c r="T769" s="304">
        <f t="shared" ca="1" si="320"/>
        <v>55.446119999999816</v>
      </c>
      <c r="U769" s="311">
        <f t="shared" ca="1" si="321"/>
        <v>0</v>
      </c>
      <c r="V769" s="306">
        <f t="shared" ca="1" si="322"/>
        <v>0.94620540273421794</v>
      </c>
      <c r="W769" s="304">
        <f t="shared" ca="1" si="323"/>
        <v>28.518401233129577</v>
      </c>
      <c r="Y769" s="314" t="str">
        <f t="shared" ca="1" si="341"/>
        <v/>
      </c>
      <c r="Z769" s="315" t="str">
        <f t="shared" ca="1" si="342"/>
        <v/>
      </c>
      <c r="AA769" s="316" t="str">
        <f t="shared" ca="1" si="343"/>
        <v/>
      </c>
      <c r="AC769" s="310" t="e">
        <f t="shared" ca="1" si="344"/>
        <v>#N/A</v>
      </c>
      <c r="AD769" s="323" t="e">
        <f t="shared" ca="1" si="345"/>
        <v>#N/A</v>
      </c>
      <c r="AE769" s="324" t="e">
        <f t="shared" ca="1" si="324"/>
        <v>#N/A</v>
      </c>
      <c r="AG769" s="306">
        <f t="shared" ca="1" si="346"/>
        <v>4.7187790040432702</v>
      </c>
      <c r="AH769" s="304">
        <f t="shared" ca="1" si="347"/>
        <v>-5.0036868381983552</v>
      </c>
    </row>
    <row r="770" spans="1:34" x14ac:dyDescent="0.2">
      <c r="A770" s="347">
        <f t="shared" ca="1" si="325"/>
        <v>0.1</v>
      </c>
      <c r="B770" s="304">
        <f t="shared" ca="1" si="326"/>
        <v>44.600000000000293</v>
      </c>
      <c r="D770" s="306">
        <f t="shared" ca="1" si="327"/>
        <v>-0.66769863881647862</v>
      </c>
      <c r="E770" s="307">
        <f t="shared" ca="1" si="328"/>
        <v>-4.8086547616609314</v>
      </c>
      <c r="F770" s="304">
        <f t="shared" ca="1" si="329"/>
        <v>4.8547896029716595</v>
      </c>
      <c r="G770" s="306">
        <f t="shared" ca="1" si="330"/>
        <v>17.788660111485491</v>
      </c>
      <c r="H770" s="307">
        <f t="shared" ca="1" si="331"/>
        <v>-134.22558876044414</v>
      </c>
      <c r="I770" s="304">
        <f t="shared" ca="1" si="332"/>
        <v>135.399206447637</v>
      </c>
      <c r="J770" s="306">
        <f t="shared" ca="1" si="333"/>
        <v>1212.2118617480207</v>
      </c>
      <c r="K770" s="307">
        <f t="shared" ca="1" si="334"/>
        <v>2554.7103967530279</v>
      </c>
      <c r="L770" s="304">
        <f t="shared" ca="1" si="319"/>
        <v>2827.7204262516152</v>
      </c>
      <c r="M770" s="306">
        <f t="shared" ca="1" si="335"/>
        <v>-1.4390360615795696</v>
      </c>
      <c r="N770" s="304">
        <f t="shared" ca="1" si="336"/>
        <v>-82.450692895637374</v>
      </c>
      <c r="P770" s="310">
        <f t="shared" ca="1" si="337"/>
        <v>23</v>
      </c>
      <c r="Q770" s="304">
        <f t="shared" ca="1" si="338"/>
        <v>0</v>
      </c>
      <c r="R770" s="306">
        <f t="shared" ca="1" si="339"/>
        <v>0</v>
      </c>
      <c r="S770" s="307">
        <f t="shared" ca="1" si="340"/>
        <v>5.6519999999999806</v>
      </c>
      <c r="T770" s="304">
        <f t="shared" ca="1" si="320"/>
        <v>55.446119999999816</v>
      </c>
      <c r="U770" s="311">
        <f t="shared" ca="1" si="321"/>
        <v>0</v>
      </c>
      <c r="V770" s="306">
        <f t="shared" ca="1" si="322"/>
        <v>0.94749519670418969</v>
      </c>
      <c r="W770" s="304">
        <f t="shared" ca="1" si="323"/>
        <v>28.755658610846183</v>
      </c>
      <c r="Y770" s="314" t="str">
        <f t="shared" ca="1" si="341"/>
        <v/>
      </c>
      <c r="Z770" s="315" t="str">
        <f t="shared" ca="1" si="342"/>
        <v/>
      </c>
      <c r="AA770" s="316" t="str">
        <f t="shared" ca="1" si="343"/>
        <v/>
      </c>
      <c r="AC770" s="310" t="e">
        <f t="shared" ca="1" si="344"/>
        <v>#N/A</v>
      </c>
      <c r="AD770" s="323" t="e">
        <f t="shared" ca="1" si="345"/>
        <v>#N/A</v>
      </c>
      <c r="AE770" s="324" t="e">
        <f t="shared" ca="1" si="324"/>
        <v>#N/A</v>
      </c>
      <c r="AG770" s="306">
        <f t="shared" ca="1" si="346"/>
        <v>4.6780098609078591</v>
      </c>
      <c r="AH770" s="304">
        <f t="shared" ca="1" si="347"/>
        <v>-5.045718547970572</v>
      </c>
    </row>
    <row r="771" spans="1:34" x14ac:dyDescent="0.2">
      <c r="A771" s="347">
        <f t="shared" ca="1" si="325"/>
        <v>0.1</v>
      </c>
      <c r="B771" s="304">
        <f t="shared" ca="1" si="326"/>
        <v>44.700000000000294</v>
      </c>
      <c r="D771" s="306">
        <f t="shared" ca="1" si="327"/>
        <v>-0.66841822671048756</v>
      </c>
      <c r="E771" s="307">
        <f t="shared" ca="1" si="328"/>
        <v>-4.7664031548110284</v>
      </c>
      <c r="F771" s="304">
        <f t="shared" ca="1" si="329"/>
        <v>4.8130429002857769</v>
      </c>
      <c r="G771" s="306">
        <f t="shared" ca="1" si="330"/>
        <v>17.721818288814443</v>
      </c>
      <c r="H771" s="307">
        <f t="shared" ca="1" si="331"/>
        <v>-134.70222907592523</v>
      </c>
      <c r="I771" s="304">
        <f t="shared" ca="1" si="332"/>
        <v>135.86299482009363</v>
      </c>
      <c r="J771" s="306">
        <f t="shared" ca="1" si="333"/>
        <v>1213.9873856680358</v>
      </c>
      <c r="K771" s="307">
        <f t="shared" ca="1" si="334"/>
        <v>2541.2640058612096</v>
      </c>
      <c r="L771" s="304">
        <f t="shared" ca="1" si="319"/>
        <v>2816.3430401935902</v>
      </c>
      <c r="M771" s="306">
        <f t="shared" ca="1" si="335"/>
        <v>-1.4399846875434581</v>
      </c>
      <c r="N771" s="304">
        <f t="shared" ca="1" si="336"/>
        <v>-82.505045159704721</v>
      </c>
      <c r="P771" s="310">
        <f t="shared" ca="1" si="337"/>
        <v>23</v>
      </c>
      <c r="Q771" s="304">
        <f t="shared" ca="1" si="338"/>
        <v>0</v>
      </c>
      <c r="R771" s="306">
        <f t="shared" ca="1" si="339"/>
        <v>0</v>
      </c>
      <c r="S771" s="307">
        <f t="shared" ca="1" si="340"/>
        <v>5.6519999999999806</v>
      </c>
      <c r="T771" s="304">
        <f t="shared" ca="1" si="320"/>
        <v>55.446119999999816</v>
      </c>
      <c r="U771" s="311">
        <f t="shared" ca="1" si="321"/>
        <v>0</v>
      </c>
      <c r="V771" s="306">
        <f t="shared" ca="1" si="322"/>
        <v>0.94879114087208938</v>
      </c>
      <c r="W771" s="304">
        <f t="shared" ca="1" si="323"/>
        <v>28.992592525499152</v>
      </c>
      <c r="Y771" s="314" t="str">
        <f t="shared" ca="1" si="341"/>
        <v/>
      </c>
      <c r="Z771" s="315" t="str">
        <f t="shared" ca="1" si="342"/>
        <v/>
      </c>
      <c r="AA771" s="316" t="str">
        <f t="shared" ca="1" si="343"/>
        <v/>
      </c>
      <c r="AC771" s="310" t="e">
        <f t="shared" ca="1" si="344"/>
        <v>#N/A</v>
      </c>
      <c r="AD771" s="323" t="e">
        <f t="shared" ca="1" si="345"/>
        <v>#N/A</v>
      </c>
      <c r="AE771" s="324" t="e">
        <f t="shared" ca="1" si="324"/>
        <v>#N/A</v>
      </c>
      <c r="AG771" s="306">
        <f t="shared" ca="1" si="346"/>
        <v>4.6372724150321769</v>
      </c>
      <c r="AH771" s="304">
        <f t="shared" ca="1" si="347"/>
        <v>-5.0876961448772615</v>
      </c>
    </row>
    <row r="772" spans="1:34" x14ac:dyDescent="0.2">
      <c r="A772" s="347">
        <f t="shared" ca="1" si="325"/>
        <v>0.1</v>
      </c>
      <c r="B772" s="304">
        <f t="shared" ca="1" si="326"/>
        <v>44.800000000000296</v>
      </c>
      <c r="D772" s="306">
        <f t="shared" ca="1" si="327"/>
        <v>-0.66910148592207519</v>
      </c>
      <c r="E772" s="307">
        <f t="shared" ca="1" si="328"/>
        <v>-4.7242091312038355</v>
      </c>
      <c r="F772" s="304">
        <f t="shared" ca="1" si="329"/>
        <v>4.7713571144709785</v>
      </c>
      <c r="G772" s="306">
        <f t="shared" ca="1" si="330"/>
        <v>17.654908140222236</v>
      </c>
      <c r="H772" s="307">
        <f t="shared" ca="1" si="331"/>
        <v>-135.17464998904561</v>
      </c>
      <c r="I772" s="304">
        <f t="shared" ca="1" si="332"/>
        <v>136.32271190487913</v>
      </c>
      <c r="J772" s="306">
        <f t="shared" ca="1" si="333"/>
        <v>1215.7562219894876</v>
      </c>
      <c r="K772" s="307">
        <f t="shared" ca="1" si="334"/>
        <v>2527.7701619079612</v>
      </c>
      <c r="L772" s="304">
        <f t="shared" ref="L772:L835" ca="1" si="348">SQRT(pos_x^2+pos_z^2)</f>
        <v>2804.9394258590241</v>
      </c>
      <c r="M772" s="306">
        <f t="shared" ca="1" si="335"/>
        <v>-1.4409233467622409</v>
      </c>
      <c r="N772" s="304">
        <f t="shared" ca="1" si="336"/>
        <v>-82.558826371342022</v>
      </c>
      <c r="P772" s="310">
        <f t="shared" ca="1" si="337"/>
        <v>23</v>
      </c>
      <c r="Q772" s="304">
        <f t="shared" ca="1" si="338"/>
        <v>0</v>
      </c>
      <c r="R772" s="306">
        <f t="shared" ca="1" si="339"/>
        <v>0</v>
      </c>
      <c r="S772" s="307">
        <f t="shared" ca="1" si="340"/>
        <v>5.6519999999999806</v>
      </c>
      <c r="T772" s="304">
        <f t="shared" ref="T772:T835" ca="1" si="349">m*g</f>
        <v>55.446119999999816</v>
      </c>
      <c r="U772" s="311">
        <f t="shared" ref="U772:U835" ca="1" si="350">IF(pos_xz&lt;L_rampe,Poids*COS(Beta),0)</f>
        <v>0</v>
      </c>
      <c r="V772" s="306">
        <f t="shared" ref="V772:V835" ca="1" si="351">Rho_moyen*(20000-Alt_rampe-pos_z)/(20000+Alt_rampe+pos_z)</f>
        <v>0.95009321374619393</v>
      </c>
      <c r="W772" s="304">
        <f t="shared" ref="W772:W835" ca="1" si="352">1/2*Rho*Sref*Cx*vit_xz^2</f>
        <v>29.229185540598674</v>
      </c>
      <c r="Y772" s="314" t="str">
        <f t="shared" ca="1" si="341"/>
        <v/>
      </c>
      <c r="Z772" s="315" t="str">
        <f t="shared" ca="1" si="342"/>
        <v/>
      </c>
      <c r="AA772" s="316" t="str">
        <f t="shared" ca="1" si="343"/>
        <v/>
      </c>
      <c r="AC772" s="310" t="e">
        <f t="shared" ca="1" si="344"/>
        <v>#N/A</v>
      </c>
      <c r="AD772" s="323" t="e">
        <f t="shared" ca="1" si="345"/>
        <v>#N/A</v>
      </c>
      <c r="AE772" s="324" t="e">
        <f t="shared" ref="AE772:AE835" ca="1" si="353">IF(t&lt;T_para, pos_z, NA())</f>
        <v>#N/A</v>
      </c>
      <c r="AG772" s="306">
        <f t="shared" ca="1" si="346"/>
        <v>4.5965702910543245</v>
      </c>
      <c r="AH772" s="304">
        <f t="shared" ca="1" si="347"/>
        <v>-5.129616511942543</v>
      </c>
    </row>
    <row r="773" spans="1:34" x14ac:dyDescent="0.2">
      <c r="A773" s="347">
        <f t="shared" ref="A773:A836" ca="1" si="354">IF(B772+0.01&lt;=T_ini+ROUNDUP(Temps_fin_propu,0), 0.01, IF(K772&gt;0, 0.1, 0.0001))</f>
        <v>0.1</v>
      </c>
      <c r="B773" s="304">
        <f t="shared" ref="B773:B836" ca="1" si="355">B772+pas</f>
        <v>44.900000000000297</v>
      </c>
      <c r="D773" s="306">
        <f t="shared" ref="D773:D836" ca="1" si="356">IF(AND(L772&lt;L_rampe,Poussee&lt;Poids*SIN(M772)),0,(-W772+Poussee)/m*COS(M772)-U772/m*SIN(M772))</f>
        <v>-0.66974858711114282</v>
      </c>
      <c r="E773" s="307">
        <f t="shared" ref="E773:E836" ca="1" si="357">IF(AND(L772&lt;L_rampe,Poussee&lt;Poids*SIN(M772)),0,(-W772+Poussee)/m*SIN(M772)+U772/m*COS(M772)-Poids/m)</f>
        <v>-4.6820757919351657</v>
      </c>
      <c r="F773" s="304">
        <f t="shared" ref="F773:F836" ca="1" si="358">SQRT(acc_x^2+acc_z^2)</f>
        <v>4.7297353933769575</v>
      </c>
      <c r="G773" s="306">
        <f t="shared" ref="G773:G836" ca="1" si="359">G772+acc_x*pas</f>
        <v>17.587933281511123</v>
      </c>
      <c r="H773" s="307">
        <f t="shared" ref="H773:H836" ca="1" si="360">H772+acc_z*pas</f>
        <v>-135.64285756823912</v>
      </c>
      <c r="I773" s="304">
        <f t="shared" ref="I773:I836" ca="1" si="361">SQRT(vit_x^2+vit_z^2)</f>
        <v>136.77836161612879</v>
      </c>
      <c r="J773" s="306">
        <f t="shared" ref="J773:J836" ca="1" si="362">J772+0.5*(vit_x+G772)*pas*(K772&gt;=0)</f>
        <v>1217.5183640605742</v>
      </c>
      <c r="K773" s="307">
        <f t="shared" ref="K773:K836" ca="1" si="363">K772+0.5*(vit_z+H772)*pas</f>
        <v>2514.2292865300969</v>
      </c>
      <c r="L773" s="304">
        <f t="shared" ca="1" si="348"/>
        <v>2793.5103135786662</v>
      </c>
      <c r="M773" s="306">
        <f t="shared" ref="M773:M836" ca="1" si="364">IF(AND(L772&gt;L_rampe,G773&gt;0),ATAN2(G773,H773),$M$4)</f>
        <v>-1.4418522038892587</v>
      </c>
      <c r="N773" s="304">
        <f t="shared" ref="N773:N836" ca="1" si="365">DEGREES(Beta)</f>
        <v>-82.61204596449079</v>
      </c>
      <c r="P773" s="310">
        <f t="shared" ref="P773:P836" ca="1" si="366">MATCH(t-pas/2-T_ini,CdP_t)</f>
        <v>23</v>
      </c>
      <c r="Q773" s="304">
        <f t="shared" ref="Q773:Q836" ca="1" si="367">(INDEX(CdP,2,i_P+1)-INDEX(CdP,2,i_P+0))/(INDEX(CdP,1,i_P+1)-INDEX(CdP,1,i_P+0))*(t-pas/2-T_ini-INDEX(CdP,1,i_P+0))+INDEX(CdP,2,i_P+0)</f>
        <v>0</v>
      </c>
      <c r="R773" s="306">
        <f t="shared" ref="R773:R836" ca="1" si="368">Poussee/(g*ISP)</f>
        <v>0</v>
      </c>
      <c r="S773" s="307">
        <f t="shared" ref="S773:S836" ca="1" si="369">S772-Débit*pas</f>
        <v>5.6519999999999806</v>
      </c>
      <c r="T773" s="304">
        <f t="shared" ca="1" si="349"/>
        <v>55.446119999999816</v>
      </c>
      <c r="U773" s="311">
        <f t="shared" ca="1" si="350"/>
        <v>0</v>
      </c>
      <c r="V773" s="306">
        <f t="shared" ca="1" si="351"/>
        <v>0.95140139382056987</v>
      </c>
      <c r="W773" s="304">
        <f t="shared" ca="1" si="352"/>
        <v>29.46542040198921</v>
      </c>
      <c r="Y773" s="314" t="str">
        <f t="shared" ref="Y773:Y836" ca="1" si="370">IF(AND(pos_z&lt;=0,K772&gt;0),"Impact balistique","") &amp; IF(AND(H774&lt;0,vit_z&gt;=0),"Apogée","") &amp; IF(AND(Poussee=0,Q772&gt;0),"Fin de propulsion","") &amp; IF(AND(L774&gt;L_rampe,pos_xz&lt;=L_rampe),"Sortie de rampe","")</f>
        <v/>
      </c>
      <c r="Z773" s="315" t="str">
        <f t="shared" ref="Z773:Z836" ca="1" si="371">IF(ABS(t-T_para)&lt;pas/2,"Para","")</f>
        <v/>
      </c>
      <c r="AA773" s="316" t="str">
        <f t="shared" ref="AA773:AA836" ca="1" si="372">IF(ABS(t-T_satellite)&lt;pas/2,"Satellite","")</f>
        <v/>
      </c>
      <c r="AC773" s="310" t="e">
        <f t="shared" ref="AC773:AC836" ca="1" si="373">IF(ABS(t-ROUND(t,0))&lt;0.001,t,NA())</f>
        <v>#N/A</v>
      </c>
      <c r="AD773" s="323" t="e">
        <f t="shared" ref="AD773:AD836" ca="1" si="374">IF(ABS(t-ROUND(t,0))&lt;0.001,pos_x,NA())</f>
        <v>#N/A</v>
      </c>
      <c r="AE773" s="324" t="e">
        <f t="shared" ca="1" si="353"/>
        <v>#N/A</v>
      </c>
      <c r="AG773" s="306">
        <f t="shared" ref="AG773:AG836" ca="1" si="375">IF(AND(L772&lt;L_rampe,Poussee&lt;Poids*SIN(M772)),0,(-W772+Poussee)/m-Poids*SIN(M772)/m)</f>
        <v>4.5559070673996773</v>
      </c>
      <c r="AH773" s="304">
        <f t="shared" ref="AH773:AH836" ca="1" si="376">IF(AND(L772&lt;L_rampe,Poussee&lt;Poids*SIN(M772)), g*SIN(M772), (-W772+Poussee)/m)</f>
        <v>-5.171476564154065</v>
      </c>
    </row>
    <row r="774" spans="1:34" x14ac:dyDescent="0.2">
      <c r="A774" s="347">
        <f t="shared" ca="1" si="354"/>
        <v>0.1</v>
      </c>
      <c r="B774" s="304">
        <f t="shared" ca="1" si="355"/>
        <v>45.000000000000298</v>
      </c>
      <c r="D774" s="306">
        <f t="shared" ca="1" si="356"/>
        <v>-0.67035970451819338</v>
      </c>
      <c r="E774" s="307">
        <f t="shared" ca="1" si="357"/>
        <v>-4.6400062057299483</v>
      </c>
      <c r="F774" s="304">
        <f t="shared" ca="1" si="358"/>
        <v>4.6881808543031003</v>
      </c>
      <c r="G774" s="306">
        <f t="shared" ca="1" si="359"/>
        <v>17.520897311059304</v>
      </c>
      <c r="H774" s="307">
        <f t="shared" ca="1" si="360"/>
        <v>-136.10685818881211</v>
      </c>
      <c r="I774" s="304">
        <f t="shared" ca="1" si="361"/>
        <v>137.2299482205473</v>
      </c>
      <c r="J774" s="306">
        <f t="shared" ca="1" si="362"/>
        <v>1219.2738055902028</v>
      </c>
      <c r="K774" s="307">
        <f t="shared" ca="1" si="363"/>
        <v>2500.6418007422444</v>
      </c>
      <c r="L774" s="304">
        <f t="shared" ca="1" si="348"/>
        <v>2782.0564387908867</v>
      </c>
      <c r="M774" s="306">
        <f t="shared" ca="1" si="364"/>
        <v>-1.4427714199022497</v>
      </c>
      <c r="N774" s="304">
        <f t="shared" ca="1" si="365"/>
        <v>-82.664713162496014</v>
      </c>
      <c r="P774" s="310">
        <f t="shared" ca="1" si="366"/>
        <v>23</v>
      </c>
      <c r="Q774" s="304">
        <f t="shared" ca="1" si="367"/>
        <v>0</v>
      </c>
      <c r="R774" s="306">
        <f t="shared" ca="1" si="368"/>
        <v>0</v>
      </c>
      <c r="S774" s="307">
        <f t="shared" ca="1" si="369"/>
        <v>5.6519999999999806</v>
      </c>
      <c r="T774" s="304">
        <f t="shared" ca="1" si="349"/>
        <v>55.446119999999816</v>
      </c>
      <c r="U774" s="311">
        <f t="shared" ca="1" si="350"/>
        <v>0</v>
      </c>
      <c r="V774" s="306">
        <f t="shared" ca="1" si="351"/>
        <v>0.95271565957659066</v>
      </c>
      <c r="W774" s="304">
        <f t="shared" ca="1" si="352"/>
        <v>29.701280039467868</v>
      </c>
      <c r="Y774" s="314" t="str">
        <f t="shared" ca="1" si="370"/>
        <v/>
      </c>
      <c r="Z774" s="315" t="str">
        <f t="shared" ca="1" si="371"/>
        <v/>
      </c>
      <c r="AA774" s="316" t="str">
        <f t="shared" ca="1" si="372"/>
        <v/>
      </c>
      <c r="AC774" s="310">
        <f t="shared" ca="1" si="373"/>
        <v>45.000000000000298</v>
      </c>
      <c r="AD774" s="323">
        <f t="shared" ca="1" si="374"/>
        <v>1219.2738055902028</v>
      </c>
      <c r="AE774" s="324" t="e">
        <f t="shared" ca="1" si="353"/>
        <v>#N/A</v>
      </c>
      <c r="AG774" s="306">
        <f t="shared" ca="1" si="375"/>
        <v>4.5152862764592996</v>
      </c>
      <c r="AH774" s="304">
        <f t="shared" ca="1" si="376"/>
        <v>-5.2132732487596094</v>
      </c>
    </row>
    <row r="775" spans="1:34" x14ac:dyDescent="0.2">
      <c r="A775" s="347">
        <f t="shared" ca="1" si="354"/>
        <v>0.1</v>
      </c>
      <c r="B775" s="304">
        <f t="shared" ca="1" si="355"/>
        <v>45.1000000000003</v>
      </c>
      <c r="D775" s="306">
        <f t="shared" ca="1" si="356"/>
        <v>-0.67093501589697624</v>
      </c>
      <c r="E775" s="307">
        <f t="shared" ca="1" si="357"/>
        <v>-4.5980034086520734</v>
      </c>
      <c r="F775" s="304">
        <f t="shared" ca="1" si="358"/>
        <v>4.6466965837606358</v>
      </c>
      <c r="G775" s="306">
        <f t="shared" ca="1" si="359"/>
        <v>17.453803809469605</v>
      </c>
      <c r="H775" s="307">
        <f t="shared" ca="1" si="360"/>
        <v>-136.56665852967731</v>
      </c>
      <c r="I775" s="304">
        <f t="shared" ca="1" si="361"/>
        <v>137.67747633284444</v>
      </c>
      <c r="J775" s="306">
        <f t="shared" ca="1" si="362"/>
        <v>1221.0225406462291</v>
      </c>
      <c r="K775" s="307">
        <f t="shared" ca="1" si="363"/>
        <v>2487.0081249063201</v>
      </c>
      <c r="L775" s="304">
        <f t="shared" ca="1" si="348"/>
        <v>2770.578542130907</v>
      </c>
      <c r="M775" s="306">
        <f t="shared" ca="1" si="364"/>
        <v>-1.443681152203983</v>
      </c>
      <c r="N775" s="304">
        <f t="shared" ca="1" si="365"/>
        <v>-82.716836983872057</v>
      </c>
      <c r="P775" s="310">
        <f t="shared" ca="1" si="366"/>
        <v>23</v>
      </c>
      <c r="Q775" s="304">
        <f t="shared" ca="1" si="367"/>
        <v>0</v>
      </c>
      <c r="R775" s="306">
        <f t="shared" ca="1" si="368"/>
        <v>0</v>
      </c>
      <c r="S775" s="307">
        <f t="shared" ca="1" si="369"/>
        <v>5.6519999999999806</v>
      </c>
      <c r="T775" s="304">
        <f t="shared" ca="1" si="349"/>
        <v>55.446119999999816</v>
      </c>
      <c r="U775" s="311">
        <f t="shared" ca="1" si="350"/>
        <v>0</v>
      </c>
      <c r="V775" s="306">
        <f t="shared" ca="1" si="351"/>
        <v>0.95403598948444535</v>
      </c>
      <c r="W775" s="304">
        <f t="shared" ca="1" si="352"/>
        <v>29.936747568344384</v>
      </c>
      <c r="Y775" s="314" t="str">
        <f t="shared" ca="1" si="370"/>
        <v/>
      </c>
      <c r="Z775" s="315" t="str">
        <f t="shared" ca="1" si="371"/>
        <v/>
      </c>
      <c r="AA775" s="316" t="str">
        <f t="shared" ca="1" si="372"/>
        <v/>
      </c>
      <c r="AC775" s="310" t="e">
        <f t="shared" ca="1" si="373"/>
        <v>#N/A</v>
      </c>
      <c r="AD775" s="323" t="e">
        <f t="shared" ca="1" si="374"/>
        <v>#N/A</v>
      </c>
      <c r="AE775" s="324" t="e">
        <f t="shared" ca="1" si="353"/>
        <v>#N/A</v>
      </c>
      <c r="AG775" s="306">
        <f t="shared" ca="1" si="375"/>
        <v>4.4747114047603684</v>
      </c>
      <c r="AH775" s="304">
        <f t="shared" ca="1" si="376"/>
        <v>-5.2550035455534267</v>
      </c>
    </row>
    <row r="776" spans="1:34" x14ac:dyDescent="0.2">
      <c r="A776" s="347">
        <f t="shared" ca="1" si="354"/>
        <v>0.1</v>
      </c>
      <c r="B776" s="304">
        <f t="shared" ca="1" si="355"/>
        <v>45.200000000000301</v>
      </c>
      <c r="D776" s="306">
        <f t="shared" ca="1" si="356"/>
        <v>-0.67147470244709806</v>
      </c>
      <c r="E776" s="307">
        <f t="shared" ca="1" si="357"/>
        <v>-4.5560704038247009</v>
      </c>
      <c r="F776" s="304">
        <f t="shared" ca="1" si="358"/>
        <v>4.6052856372470314</v>
      </c>
      <c r="G776" s="306">
        <f t="shared" ca="1" si="359"/>
        <v>17.386656339224896</v>
      </c>
      <c r="H776" s="307">
        <f t="shared" ca="1" si="360"/>
        <v>-137.02226557005977</v>
      </c>
      <c r="I776" s="304">
        <f t="shared" ca="1" si="361"/>
        <v>138.12095091118616</v>
      </c>
      <c r="J776" s="306">
        <f t="shared" ca="1" si="362"/>
        <v>1222.7645636536638</v>
      </c>
      <c r="K776" s="307">
        <f t="shared" ca="1" si="363"/>
        <v>2473.328678701333</v>
      </c>
      <c r="L776" s="304">
        <f t="shared" ca="1" si="348"/>
        <v>2759.0773695229382</v>
      </c>
      <c r="M776" s="306">
        <f t="shared" ca="1" si="364"/>
        <v>-1.4445815547196319</v>
      </c>
      <c r="N776" s="304">
        <f t="shared" ca="1" si="365"/>
        <v>-82.768426247881692</v>
      </c>
      <c r="P776" s="310">
        <f t="shared" ca="1" si="366"/>
        <v>23</v>
      </c>
      <c r="Q776" s="304">
        <f t="shared" ca="1" si="367"/>
        <v>0</v>
      </c>
      <c r="R776" s="306">
        <f t="shared" ca="1" si="368"/>
        <v>0</v>
      </c>
      <c r="S776" s="307">
        <f t="shared" ca="1" si="369"/>
        <v>5.6519999999999806</v>
      </c>
      <c r="T776" s="304">
        <f t="shared" ca="1" si="349"/>
        <v>55.446119999999816</v>
      </c>
      <c r="U776" s="311">
        <f t="shared" ca="1" si="350"/>
        <v>0</v>
      </c>
      <c r="V776" s="306">
        <f t="shared" ca="1" si="351"/>
        <v>0.9553623620046463</v>
      </c>
      <c r="W776" s="304">
        <f t="shared" ca="1" si="352"/>
        <v>30.17180629094284</v>
      </c>
      <c r="Y776" s="314" t="str">
        <f t="shared" ca="1" si="370"/>
        <v/>
      </c>
      <c r="Z776" s="315" t="str">
        <f t="shared" ca="1" si="371"/>
        <v/>
      </c>
      <c r="AA776" s="316" t="str">
        <f t="shared" ca="1" si="372"/>
        <v/>
      </c>
      <c r="AC776" s="310" t="e">
        <f t="shared" ca="1" si="373"/>
        <v>#N/A</v>
      </c>
      <c r="AD776" s="323" t="e">
        <f t="shared" ca="1" si="374"/>
        <v>#N/A</v>
      </c>
      <c r="AE776" s="324" t="e">
        <f t="shared" ca="1" si="353"/>
        <v>#N/A</v>
      </c>
      <c r="AG776" s="306">
        <f t="shared" ca="1" si="375"/>
        <v>4.4341858931294551</v>
      </c>
      <c r="AH776" s="304">
        <f t="shared" ca="1" si="376"/>
        <v>-5.2966644671522447</v>
      </c>
    </row>
    <row r="777" spans="1:34" x14ac:dyDescent="0.2">
      <c r="A777" s="347">
        <f t="shared" ca="1" si="354"/>
        <v>0.1</v>
      </c>
      <c r="B777" s="304">
        <f t="shared" ca="1" si="355"/>
        <v>45.300000000000303</v>
      </c>
      <c r="D777" s="306">
        <f t="shared" ca="1" si="356"/>
        <v>-0.67197894874664765</v>
      </c>
      <c r="E777" s="307">
        <f t="shared" ca="1" si="357"/>
        <v>-4.5142101611610057</v>
      </c>
      <c r="F777" s="304">
        <f t="shared" ca="1" si="358"/>
        <v>4.5639510390327285</v>
      </c>
      <c r="G777" s="306">
        <f t="shared" ca="1" si="359"/>
        <v>17.319458444350232</v>
      </c>
      <c r="H777" s="307">
        <f t="shared" ca="1" si="360"/>
        <v>-137.47368658617589</v>
      </c>
      <c r="I777" s="304">
        <f t="shared" ca="1" si="361"/>
        <v>138.56037725266083</v>
      </c>
      <c r="J777" s="306">
        <f t="shared" ca="1" si="362"/>
        <v>1224.4998693928426</v>
      </c>
      <c r="K777" s="307">
        <f t="shared" ca="1" si="363"/>
        <v>2459.6038810935211</v>
      </c>
      <c r="L777" s="304">
        <f t="shared" ca="1" si="348"/>
        <v>2747.5536722752845</v>
      </c>
      <c r="M777" s="306">
        <f t="shared" ca="1" si="364"/>
        <v>-1.4454727779910117</v>
      </c>
      <c r="N777" s="304">
        <f t="shared" ca="1" si="365"/>
        <v>-82.819489579935606</v>
      </c>
      <c r="P777" s="310">
        <f t="shared" ca="1" si="366"/>
        <v>23</v>
      </c>
      <c r="Q777" s="304">
        <f t="shared" ca="1" si="367"/>
        <v>0</v>
      </c>
      <c r="R777" s="306">
        <f t="shared" ca="1" si="368"/>
        <v>0</v>
      </c>
      <c r="S777" s="307">
        <f t="shared" ca="1" si="369"/>
        <v>5.6519999999999806</v>
      </c>
      <c r="T777" s="304">
        <f t="shared" ca="1" si="349"/>
        <v>55.446119999999816</v>
      </c>
      <c r="U777" s="311">
        <f t="shared" ca="1" si="350"/>
        <v>0</v>
      </c>
      <c r="V777" s="306">
        <f t="shared" ca="1" si="351"/>
        <v>0.95669475558953054</v>
      </c>
      <c r="W777" s="304">
        <f t="shared" ca="1" si="352"/>
        <v>30.406439698045286</v>
      </c>
      <c r="Y777" s="314" t="str">
        <f t="shared" ca="1" si="370"/>
        <v/>
      </c>
      <c r="Z777" s="315" t="str">
        <f t="shared" ca="1" si="371"/>
        <v/>
      </c>
      <c r="AA777" s="316" t="str">
        <f t="shared" ca="1" si="372"/>
        <v/>
      </c>
      <c r="AC777" s="310" t="e">
        <f t="shared" ca="1" si="373"/>
        <v>#N/A</v>
      </c>
      <c r="AD777" s="323" t="e">
        <f t="shared" ca="1" si="374"/>
        <v>#N/A</v>
      </c>
      <c r="AE777" s="324" t="e">
        <f t="shared" ca="1" si="353"/>
        <v>#N/A</v>
      </c>
      <c r="AG777" s="306">
        <f t="shared" ca="1" si="375"/>
        <v>4.3937131368494322</v>
      </c>
      <c r="AH777" s="304">
        <f t="shared" ca="1" si="376"/>
        <v>-5.3382530592609596</v>
      </c>
    </row>
    <row r="778" spans="1:34" x14ac:dyDescent="0.2">
      <c r="A778" s="347">
        <f t="shared" ca="1" si="354"/>
        <v>0.1</v>
      </c>
      <c r="B778" s="304">
        <f t="shared" ca="1" si="355"/>
        <v>45.400000000000304</v>
      </c>
      <c r="D778" s="306">
        <f t="shared" ca="1" si="356"/>
        <v>-0.67244794268482533</v>
      </c>
      <c r="E778" s="307">
        <f t="shared" ca="1" si="357"/>
        <v>-4.4724256171053334</v>
      </c>
      <c r="F778" s="304">
        <f t="shared" ca="1" si="358"/>
        <v>4.5226957819602545</v>
      </c>
      <c r="G778" s="306">
        <f t="shared" ca="1" si="359"/>
        <v>17.25221365008175</v>
      </c>
      <c r="H778" s="307">
        <f t="shared" ca="1" si="360"/>
        <v>-137.92092914788643</v>
      </c>
      <c r="I778" s="304">
        <f t="shared" ca="1" si="361"/>
        <v>138.99576098875957</v>
      </c>
      <c r="J778" s="306">
        <f t="shared" ca="1" si="362"/>
        <v>1226.2284529975641</v>
      </c>
      <c r="K778" s="307">
        <f t="shared" ca="1" si="363"/>
        <v>2445.8341503068182</v>
      </c>
      <c r="L778" s="304">
        <f t="shared" ca="1" si="348"/>
        <v>2736.0082071784568</v>
      </c>
      <c r="M778" s="306">
        <f t="shared" ca="1" si="364"/>
        <v>-1.4463549692677962</v>
      </c>
      <c r="N778" s="304">
        <f t="shared" ca="1" si="365"/>
        <v>-82.87003541681861</v>
      </c>
      <c r="P778" s="310">
        <f t="shared" ca="1" si="366"/>
        <v>23</v>
      </c>
      <c r="Q778" s="304">
        <f t="shared" ca="1" si="367"/>
        <v>0</v>
      </c>
      <c r="R778" s="306">
        <f t="shared" ca="1" si="368"/>
        <v>0</v>
      </c>
      <c r="S778" s="307">
        <f t="shared" ca="1" si="369"/>
        <v>5.6519999999999806</v>
      </c>
      <c r="T778" s="304">
        <f t="shared" ca="1" si="349"/>
        <v>55.446119999999816</v>
      </c>
      <c r="U778" s="311">
        <f t="shared" ca="1" si="350"/>
        <v>0</v>
      </c>
      <c r="V778" s="306">
        <f t="shared" ca="1" si="351"/>
        <v>0.95803314868475076</v>
      </c>
      <c r="W778" s="304">
        <f t="shared" ca="1" si="352"/>
        <v>30.640631470276912</v>
      </c>
      <c r="Y778" s="314" t="str">
        <f t="shared" ca="1" si="370"/>
        <v/>
      </c>
      <c r="Z778" s="315" t="str">
        <f t="shared" ca="1" si="371"/>
        <v/>
      </c>
      <c r="AA778" s="316" t="str">
        <f t="shared" ca="1" si="372"/>
        <v/>
      </c>
      <c r="AC778" s="310" t="e">
        <f t="shared" ca="1" si="373"/>
        <v>#N/A</v>
      </c>
      <c r="AD778" s="323" t="e">
        <f t="shared" ca="1" si="374"/>
        <v>#N/A</v>
      </c>
      <c r="AE778" s="324" t="e">
        <f t="shared" ca="1" si="353"/>
        <v>#N/A</v>
      </c>
      <c r="AG778" s="306">
        <f t="shared" ca="1" si="375"/>
        <v>4.3532964858106347</v>
      </c>
      <c r="AH778" s="304">
        <f t="shared" ca="1" si="376"/>
        <v>-5.3797664009280588</v>
      </c>
    </row>
    <row r="779" spans="1:34" x14ac:dyDescent="0.2">
      <c r="A779" s="347">
        <f t="shared" ca="1" si="354"/>
        <v>0.1</v>
      </c>
      <c r="B779" s="304">
        <f t="shared" ca="1" si="355"/>
        <v>45.500000000000306</v>
      </c>
      <c r="D779" s="306">
        <f t="shared" ca="1" si="356"/>
        <v>-0.6728818753945931</v>
      </c>
      <c r="E779" s="307">
        <f t="shared" ca="1" si="357"/>
        <v>-4.4307196743848092</v>
      </c>
      <c r="F779" s="304">
        <f t="shared" ca="1" si="358"/>
        <v>4.4815228272558398</v>
      </c>
      <c r="G779" s="306">
        <f t="shared" ca="1" si="359"/>
        <v>17.184925462542289</v>
      </c>
      <c r="H779" s="307">
        <f t="shared" ca="1" si="360"/>
        <v>-138.3640011153249</v>
      </c>
      <c r="I779" s="304">
        <f t="shared" ca="1" si="361"/>
        <v>139.42710808087057</v>
      </c>
      <c r="J779" s="306">
        <f t="shared" ca="1" si="362"/>
        <v>1227.9503099531953</v>
      </c>
      <c r="K779" s="307">
        <f t="shared" ca="1" si="363"/>
        <v>2432.0199037936577</v>
      </c>
      <c r="L779" s="304">
        <f t="shared" ca="1" si="348"/>
        <v>2724.4417366063567</v>
      </c>
      <c r="M779" s="306">
        <f t="shared" ca="1" si="364"/>
        <v>-1.4472282725958263</v>
      </c>
      <c r="N779" s="304">
        <f t="shared" ca="1" si="365"/>
        <v>-82.920072011749468</v>
      </c>
      <c r="P779" s="310">
        <f t="shared" ca="1" si="366"/>
        <v>23</v>
      </c>
      <c r="Q779" s="304">
        <f t="shared" ca="1" si="367"/>
        <v>0</v>
      </c>
      <c r="R779" s="306">
        <f t="shared" ca="1" si="368"/>
        <v>0</v>
      </c>
      <c r="S779" s="307">
        <f t="shared" ca="1" si="369"/>
        <v>5.6519999999999806</v>
      </c>
      <c r="T779" s="304">
        <f t="shared" ca="1" si="349"/>
        <v>55.446119999999816</v>
      </c>
      <c r="U779" s="311">
        <f t="shared" ca="1" si="350"/>
        <v>0</v>
      </c>
      <c r="V779" s="306">
        <f t="shared" ca="1" si="351"/>
        <v>0.95937751973076757</v>
      </c>
      <c r="W779" s="304">
        <f t="shared" ca="1" si="352"/>
        <v>30.874365479433365</v>
      </c>
      <c r="Y779" s="314" t="str">
        <f t="shared" ca="1" si="370"/>
        <v/>
      </c>
      <c r="Z779" s="315" t="str">
        <f t="shared" ca="1" si="371"/>
        <v/>
      </c>
      <c r="AA779" s="316" t="str">
        <f t="shared" ca="1" si="372"/>
        <v/>
      </c>
      <c r="AC779" s="310" t="e">
        <f t="shared" ca="1" si="373"/>
        <v>#N/A</v>
      </c>
      <c r="AD779" s="323" t="e">
        <f t="shared" ca="1" si="374"/>
        <v>#N/A</v>
      </c>
      <c r="AE779" s="324" t="e">
        <f t="shared" ca="1" si="353"/>
        <v>#N/A</v>
      </c>
      <c r="AG779" s="306">
        <f t="shared" ca="1" si="375"/>
        <v>4.3129392446570938</v>
      </c>
      <c r="AH779" s="304">
        <f t="shared" ca="1" si="376"/>
        <v>-5.4212016047906966</v>
      </c>
    </row>
    <row r="780" spans="1:34" x14ac:dyDescent="0.2">
      <c r="A780" s="347">
        <f t="shared" ca="1" si="354"/>
        <v>0.1</v>
      </c>
      <c r="B780" s="304">
        <f t="shared" ca="1" si="355"/>
        <v>45.600000000000307</v>
      </c>
      <c r="D780" s="306">
        <f t="shared" ca="1" si="356"/>
        <v>-0.67328094118535697</v>
      </c>
      <c r="E780" s="307">
        <f t="shared" ca="1" si="357"/>
        <v>-4.3890952017713172</v>
      </c>
      <c r="F780" s="304">
        <f t="shared" ca="1" si="358"/>
        <v>4.440435104353563</v>
      </c>
      <c r="G780" s="306">
        <f t="shared" ca="1" si="359"/>
        <v>17.117597368423752</v>
      </c>
      <c r="H780" s="307">
        <f t="shared" ca="1" si="360"/>
        <v>-138.80291063550203</v>
      </c>
      <c r="I780" s="304">
        <f t="shared" ca="1" si="361"/>
        <v>139.85442481578704</v>
      </c>
      <c r="J780" s="306">
        <f t="shared" ca="1" si="362"/>
        <v>1229.6654360947437</v>
      </c>
      <c r="K780" s="307">
        <f t="shared" ca="1" si="363"/>
        <v>2418.1615582061163</v>
      </c>
      <c r="L780" s="304">
        <f t="shared" ca="1" si="348"/>
        <v>2712.8550286205691</v>
      </c>
      <c r="M780" s="306">
        <f t="shared" ca="1" si="364"/>
        <v>-1.4480928289026156</v>
      </c>
      <c r="N780" s="304">
        <f t="shared" ca="1" si="365"/>
        <v>-82.969607439279912</v>
      </c>
      <c r="P780" s="310">
        <f t="shared" ca="1" si="366"/>
        <v>23</v>
      </c>
      <c r="Q780" s="304">
        <f t="shared" ca="1" si="367"/>
        <v>0</v>
      </c>
      <c r="R780" s="306">
        <f t="shared" ca="1" si="368"/>
        <v>0</v>
      </c>
      <c r="S780" s="307">
        <f t="shared" ca="1" si="369"/>
        <v>5.6519999999999806</v>
      </c>
      <c r="T780" s="304">
        <f t="shared" ca="1" si="349"/>
        <v>55.446119999999816</v>
      </c>
      <c r="U780" s="311">
        <f t="shared" ca="1" si="350"/>
        <v>0</v>
      </c>
      <c r="V780" s="306">
        <f t="shared" ca="1" si="351"/>
        <v>0.96072784716433013</v>
      </c>
      <c r="W780" s="304">
        <f t="shared" ca="1" si="352"/>
        <v>31.107625789749889</v>
      </c>
      <c r="Y780" s="314" t="str">
        <f t="shared" ca="1" si="370"/>
        <v/>
      </c>
      <c r="Z780" s="315" t="str">
        <f t="shared" ca="1" si="371"/>
        <v/>
      </c>
      <c r="AA780" s="316" t="str">
        <f t="shared" ca="1" si="372"/>
        <v/>
      </c>
      <c r="AC780" s="310" t="e">
        <f t="shared" ca="1" si="373"/>
        <v>#N/A</v>
      </c>
      <c r="AD780" s="323" t="e">
        <f t="shared" ca="1" si="374"/>
        <v>#N/A</v>
      </c>
      <c r="AE780" s="324" t="e">
        <f t="shared" ca="1" si="353"/>
        <v>#N/A</v>
      </c>
      <c r="AG780" s="306">
        <f t="shared" ca="1" si="375"/>
        <v>4.2726446729283216</v>
      </c>
      <c r="AH780" s="304">
        <f t="shared" ca="1" si="376"/>
        <v>-5.4625558173095312</v>
      </c>
    </row>
    <row r="781" spans="1:34" x14ac:dyDescent="0.2">
      <c r="A781" s="347">
        <f t="shared" ca="1" si="354"/>
        <v>0.1</v>
      </c>
      <c r="B781" s="304">
        <f t="shared" ca="1" si="355"/>
        <v>45.700000000000308</v>
      </c>
      <c r="D781" s="306">
        <f t="shared" ca="1" si="356"/>
        <v>-0.67364533747570154</v>
      </c>
      <c r="E781" s="307">
        <f t="shared" ca="1" si="357"/>
        <v>-4.3475550338538822</v>
      </c>
      <c r="F781" s="304">
        <f t="shared" ca="1" si="358"/>
        <v>4.3994355107321423</v>
      </c>
      <c r="G781" s="306">
        <f t="shared" ca="1" si="359"/>
        <v>17.05023283467618</v>
      </c>
      <c r="H781" s="307">
        <f t="shared" ca="1" si="360"/>
        <v>-139.23766613888742</v>
      </c>
      <c r="I781" s="304">
        <f t="shared" ca="1" si="361"/>
        <v>140.27771780122794</v>
      </c>
      <c r="J781" s="306">
        <f t="shared" ca="1" si="362"/>
        <v>1231.3738276048987</v>
      </c>
      <c r="K781" s="307">
        <f t="shared" ca="1" si="363"/>
        <v>2404.2595293673967</v>
      </c>
      <c r="L781" s="304">
        <f t="shared" ca="1" si="348"/>
        <v>2701.2488570778282</v>
      </c>
      <c r="M781" s="306">
        <f t="shared" ca="1" si="364"/>
        <v>-1.4489487760801576</v>
      </c>
      <c r="N781" s="304">
        <f t="shared" ca="1" si="365"/>
        <v>-83.018649600039197</v>
      </c>
      <c r="P781" s="310">
        <f t="shared" ca="1" si="366"/>
        <v>23</v>
      </c>
      <c r="Q781" s="304">
        <f t="shared" ca="1" si="367"/>
        <v>0</v>
      </c>
      <c r="R781" s="306">
        <f t="shared" ca="1" si="368"/>
        <v>0</v>
      </c>
      <c r="S781" s="307">
        <f t="shared" ca="1" si="369"/>
        <v>5.6519999999999806</v>
      </c>
      <c r="T781" s="304">
        <f t="shared" ca="1" si="349"/>
        <v>55.446119999999816</v>
      </c>
      <c r="U781" s="311">
        <f t="shared" ca="1" si="350"/>
        <v>0</v>
      </c>
      <c r="V781" s="306">
        <f t="shared" ca="1" si="351"/>
        <v>0.9620841094199537</v>
      </c>
      <c r="W781" s="304">
        <f t="shared" ca="1" si="352"/>
        <v>31.340396659112564</v>
      </c>
      <c r="Y781" s="314" t="str">
        <f t="shared" ca="1" si="370"/>
        <v/>
      </c>
      <c r="Z781" s="315" t="str">
        <f t="shared" ca="1" si="371"/>
        <v/>
      </c>
      <c r="AA781" s="316" t="str">
        <f t="shared" ca="1" si="372"/>
        <v/>
      </c>
      <c r="AC781" s="310" t="e">
        <f t="shared" ca="1" si="373"/>
        <v>#N/A</v>
      </c>
      <c r="AD781" s="323" t="e">
        <f t="shared" ca="1" si="374"/>
        <v>#N/A</v>
      </c>
      <c r="AE781" s="324" t="e">
        <f t="shared" ca="1" si="353"/>
        <v>#N/A</v>
      </c>
      <c r="AG781" s="306">
        <f t="shared" ca="1" si="375"/>
        <v>4.2324159851973819</v>
      </c>
      <c r="AH781" s="304">
        <f t="shared" ca="1" si="376"/>
        <v>-5.5038262189932761</v>
      </c>
    </row>
    <row r="782" spans="1:34" x14ac:dyDescent="0.2">
      <c r="A782" s="347">
        <f t="shared" ca="1" si="354"/>
        <v>0.1</v>
      </c>
      <c r="B782" s="304">
        <f t="shared" ca="1" si="355"/>
        <v>45.80000000000031</v>
      </c>
      <c r="D782" s="306">
        <f t="shared" ca="1" si="356"/>
        <v>-0.67397526472616731</v>
      </c>
      <c r="E782" s="307">
        <f t="shared" ca="1" si="357"/>
        <v>-4.3061019708214126</v>
      </c>
      <c r="F782" s="304">
        <f t="shared" ca="1" si="358"/>
        <v>4.3585269117644279</v>
      </c>
      <c r="G782" s="306">
        <f t="shared" ca="1" si="359"/>
        <v>16.982835308203562</v>
      </c>
      <c r="H782" s="307">
        <f t="shared" ca="1" si="360"/>
        <v>-139.66827633596955</v>
      </c>
      <c r="I782" s="304">
        <f t="shared" ca="1" si="361"/>
        <v>140.6969939613719</v>
      </c>
      <c r="J782" s="306">
        <f t="shared" ca="1" si="362"/>
        <v>1233.0754810120427</v>
      </c>
      <c r="K782" s="307">
        <f t="shared" ca="1" si="363"/>
        <v>2390.3142322436538</v>
      </c>
      <c r="L782" s="304">
        <f t="shared" ca="1" si="348"/>
        <v>2689.6240017406985</v>
      </c>
      <c r="M782" s="306">
        <f t="shared" ca="1" si="364"/>
        <v>-1.4497962490651308</v>
      </c>
      <c r="N782" s="304">
        <f t="shared" ca="1" si="365"/>
        <v>-83.067206225329514</v>
      </c>
      <c r="P782" s="310">
        <f t="shared" ca="1" si="366"/>
        <v>23</v>
      </c>
      <c r="Q782" s="304">
        <f t="shared" ca="1" si="367"/>
        <v>0</v>
      </c>
      <c r="R782" s="306">
        <f t="shared" ca="1" si="368"/>
        <v>0</v>
      </c>
      <c r="S782" s="307">
        <f t="shared" ca="1" si="369"/>
        <v>5.6519999999999806</v>
      </c>
      <c r="T782" s="304">
        <f t="shared" ca="1" si="349"/>
        <v>55.446119999999816</v>
      </c>
      <c r="U782" s="311">
        <f t="shared" ca="1" si="350"/>
        <v>0</v>
      </c>
      <c r="V782" s="306">
        <f t="shared" ca="1" si="351"/>
        <v>0.96344628493138773</v>
      </c>
      <c r="W782" s="304">
        <f t="shared" ca="1" si="352"/>
        <v>31.572662540211745</v>
      </c>
      <c r="Y782" s="314" t="str">
        <f t="shared" ca="1" si="370"/>
        <v/>
      </c>
      <c r="Z782" s="315" t="str">
        <f t="shared" ca="1" si="371"/>
        <v/>
      </c>
      <c r="AA782" s="316" t="str">
        <f t="shared" ca="1" si="372"/>
        <v/>
      </c>
      <c r="AC782" s="310" t="e">
        <f t="shared" ca="1" si="373"/>
        <v>#N/A</v>
      </c>
      <c r="AD782" s="323" t="e">
        <f t="shared" ca="1" si="374"/>
        <v>#N/A</v>
      </c>
      <c r="AE782" s="324" t="e">
        <f t="shared" ca="1" si="353"/>
        <v>#N/A</v>
      </c>
      <c r="AG782" s="306">
        <f t="shared" ca="1" si="375"/>
        <v>4.1922563512057334</v>
      </c>
      <c r="AH782" s="304">
        <f t="shared" ca="1" si="376"/>
        <v>-5.5450100246129992</v>
      </c>
    </row>
    <row r="783" spans="1:34" x14ac:dyDescent="0.2">
      <c r="A783" s="347">
        <f t="shared" ca="1" si="354"/>
        <v>0.1</v>
      </c>
      <c r="B783" s="304">
        <f t="shared" ca="1" si="355"/>
        <v>45.900000000000311</v>
      </c>
      <c r="D783" s="306">
        <f t="shared" ca="1" si="356"/>
        <v>-0.67427092637210773</v>
      </c>
      <c r="E783" s="307">
        <f t="shared" ca="1" si="357"/>
        <v>-4.2647387782557837</v>
      </c>
      <c r="F783" s="304">
        <f t="shared" ca="1" si="358"/>
        <v>4.3177121405797001</v>
      </c>
      <c r="G783" s="306">
        <f t="shared" ca="1" si="359"/>
        <v>16.915408215566352</v>
      </c>
      <c r="H783" s="307">
        <f t="shared" ca="1" si="360"/>
        <v>-140.09475021379512</v>
      </c>
      <c r="I783" s="304">
        <f t="shared" ca="1" si="361"/>
        <v>141.11226053240341</v>
      </c>
      <c r="J783" s="306">
        <f t="shared" ca="1" si="362"/>
        <v>1234.7703931882313</v>
      </c>
      <c r="K783" s="307">
        <f t="shared" ca="1" si="363"/>
        <v>2376.3260809161657</v>
      </c>
      <c r="L783" s="304">
        <f t="shared" ca="1" si="348"/>
        <v>2677.9812483915198</v>
      </c>
      <c r="M783" s="306">
        <f t="shared" ca="1" si="364"/>
        <v>-1.4506353799165967</v>
      </c>
      <c r="N783" s="304">
        <f t="shared" ca="1" si="365"/>
        <v>-83.115284881577736</v>
      </c>
      <c r="P783" s="310">
        <f t="shared" ca="1" si="366"/>
        <v>23</v>
      </c>
      <c r="Q783" s="304">
        <f t="shared" ca="1" si="367"/>
        <v>0</v>
      </c>
      <c r="R783" s="306">
        <f t="shared" ca="1" si="368"/>
        <v>0</v>
      </c>
      <c r="S783" s="307">
        <f t="shared" ca="1" si="369"/>
        <v>5.6519999999999806</v>
      </c>
      <c r="T783" s="304">
        <f t="shared" ca="1" si="349"/>
        <v>55.446119999999816</v>
      </c>
      <c r="U783" s="311">
        <f t="shared" ca="1" si="350"/>
        <v>0</v>
      </c>
      <c r="V783" s="306">
        <f t="shared" ca="1" si="351"/>
        <v>0.9648143521330812</v>
      </c>
      <c r="W783" s="304">
        <f t="shared" ca="1" si="352"/>
        <v>31.804408081637916</v>
      </c>
      <c r="Y783" s="314" t="str">
        <f t="shared" ca="1" si="370"/>
        <v/>
      </c>
      <c r="Z783" s="315" t="str">
        <f t="shared" ca="1" si="371"/>
        <v/>
      </c>
      <c r="AA783" s="316" t="str">
        <f t="shared" ca="1" si="372"/>
        <v/>
      </c>
      <c r="AC783" s="310" t="e">
        <f t="shared" ca="1" si="373"/>
        <v>#N/A</v>
      </c>
      <c r="AD783" s="323" t="e">
        <f t="shared" ca="1" si="374"/>
        <v>#N/A</v>
      </c>
      <c r="AE783" s="324" t="e">
        <f t="shared" ca="1" si="353"/>
        <v>#N/A</v>
      </c>
      <c r="AG783" s="306">
        <f t="shared" ca="1" si="375"/>
        <v>4.1521688959954401</v>
      </c>
      <c r="AH783" s="304">
        <f t="shared" ca="1" si="376"/>
        <v>-5.5861044834062019</v>
      </c>
    </row>
    <row r="784" spans="1:34" x14ac:dyDescent="0.2">
      <c r="A784" s="347">
        <f t="shared" ca="1" si="354"/>
        <v>0.1</v>
      </c>
      <c r="B784" s="304">
        <f t="shared" ca="1" si="355"/>
        <v>46.000000000000313</v>
      </c>
      <c r="D784" s="306">
        <f t="shared" ca="1" si="356"/>
        <v>-0.67453252875662351</v>
      </c>
      <c r="E784" s="307">
        <f t="shared" ca="1" si="357"/>
        <v>-4.2234681869352171</v>
      </c>
      <c r="F784" s="304">
        <f t="shared" ca="1" si="358"/>
        <v>4.2769939979388161</v>
      </c>
      <c r="G784" s="306">
        <f t="shared" ca="1" si="359"/>
        <v>16.847954962690689</v>
      </c>
      <c r="H784" s="307">
        <f t="shared" ca="1" si="360"/>
        <v>-140.51709703248864</v>
      </c>
      <c r="I784" s="304">
        <f t="shared" ca="1" si="361"/>
        <v>141.52352505807181</v>
      </c>
      <c r="J784" s="306">
        <f t="shared" ca="1" si="362"/>
        <v>1236.4585613471443</v>
      </c>
      <c r="K784" s="307">
        <f t="shared" ca="1" si="363"/>
        <v>2362.2954885538516</v>
      </c>
      <c r="L784" s="304">
        <f t="shared" ca="1" si="348"/>
        <v>2666.321388949676</v>
      </c>
      <c r="M784" s="306">
        <f t="shared" ca="1" si="364"/>
        <v>-1.4514662978912816</v>
      </c>
      <c r="N784" s="304">
        <f t="shared" ca="1" si="365"/>
        <v>-83.162892974648727</v>
      </c>
      <c r="P784" s="310">
        <f t="shared" ca="1" si="366"/>
        <v>23</v>
      </c>
      <c r="Q784" s="304">
        <f t="shared" ca="1" si="367"/>
        <v>0</v>
      </c>
      <c r="R784" s="306">
        <f t="shared" ca="1" si="368"/>
        <v>0</v>
      </c>
      <c r="S784" s="307">
        <f t="shared" ca="1" si="369"/>
        <v>5.6519999999999806</v>
      </c>
      <c r="T784" s="304">
        <f t="shared" ca="1" si="349"/>
        <v>55.446119999999816</v>
      </c>
      <c r="U784" s="311">
        <f t="shared" ca="1" si="350"/>
        <v>0</v>
      </c>
      <c r="V784" s="306">
        <f t="shared" ca="1" si="351"/>
        <v>0.96618828946163715</v>
      </c>
      <c r="W784" s="304">
        <f t="shared" ca="1" si="352"/>
        <v>32.035618128920113</v>
      </c>
      <c r="Y784" s="314" t="str">
        <f t="shared" ca="1" si="370"/>
        <v/>
      </c>
      <c r="Z784" s="315" t="str">
        <f t="shared" ca="1" si="371"/>
        <v/>
      </c>
      <c r="AA784" s="316" t="str">
        <f t="shared" ca="1" si="372"/>
        <v/>
      </c>
      <c r="AC784" s="310">
        <f t="shared" ca="1" si="373"/>
        <v>46.000000000000313</v>
      </c>
      <c r="AD784" s="323">
        <f t="shared" ca="1" si="374"/>
        <v>1236.4585613471443</v>
      </c>
      <c r="AE784" s="324" t="e">
        <f t="shared" ca="1" si="353"/>
        <v>#N/A</v>
      </c>
      <c r="AG784" s="306">
        <f t="shared" ca="1" si="375"/>
        <v>4.1121567000392236</v>
      </c>
      <c r="AH784" s="304">
        <f t="shared" ca="1" si="376"/>
        <v>-5.6271068792707055</v>
      </c>
    </row>
    <row r="785" spans="1:34" x14ac:dyDescent="0.2">
      <c r="A785" s="347">
        <f t="shared" ca="1" si="354"/>
        <v>0.1</v>
      </c>
      <c r="B785" s="304">
        <f t="shared" ca="1" si="355"/>
        <v>46.100000000000314</v>
      </c>
      <c r="D785" s="306">
        <f t="shared" ca="1" si="356"/>
        <v>-0.67476028106359021</v>
      </c>
      <c r="E785" s="307">
        <f t="shared" ca="1" si="357"/>
        <v>-4.1822928926479372</v>
      </c>
      <c r="F785" s="304">
        <f t="shared" ca="1" si="358"/>
        <v>4.2363752521223219</v>
      </c>
      <c r="G785" s="306">
        <f t="shared" ca="1" si="359"/>
        <v>16.78047893458433</v>
      </c>
      <c r="H785" s="307">
        <f t="shared" ca="1" si="360"/>
        <v>-140.93532632175342</v>
      </c>
      <c r="I785" s="304">
        <f t="shared" ca="1" si="361"/>
        <v>141.93079538526217</v>
      </c>
      <c r="J785" s="306">
        <f t="shared" ca="1" si="362"/>
        <v>1238.139983042008</v>
      </c>
      <c r="K785" s="307">
        <f t="shared" ca="1" si="363"/>
        <v>2348.2228673861396</v>
      </c>
      <c r="L785" s="304">
        <f t="shared" ca="1" si="348"/>
        <v>2654.6452215922277</v>
      </c>
      <c r="M785" s="306">
        <f t="shared" ca="1" si="364"/>
        <v>-1.4522891295165277</v>
      </c>
      <c r="N785" s="304">
        <f t="shared" ca="1" si="365"/>
        <v>-83.210037754025223</v>
      </c>
      <c r="P785" s="310">
        <f t="shared" ca="1" si="366"/>
        <v>23</v>
      </c>
      <c r="Q785" s="304">
        <f t="shared" ca="1" si="367"/>
        <v>0</v>
      </c>
      <c r="R785" s="306">
        <f t="shared" ca="1" si="368"/>
        <v>0</v>
      </c>
      <c r="S785" s="307">
        <f t="shared" ca="1" si="369"/>
        <v>5.6519999999999806</v>
      </c>
      <c r="T785" s="304">
        <f t="shared" ca="1" si="349"/>
        <v>55.446119999999816</v>
      </c>
      <c r="U785" s="311">
        <f t="shared" ca="1" si="350"/>
        <v>0</v>
      </c>
      <c r="V785" s="306">
        <f t="shared" ca="1" si="351"/>
        <v>0.96756807535726308</v>
      </c>
      <c r="W785" s="304">
        <f t="shared" ca="1" si="352"/>
        <v>32.266277725507045</v>
      </c>
      <c r="Y785" s="314" t="str">
        <f t="shared" ca="1" si="370"/>
        <v/>
      </c>
      <c r="Z785" s="315" t="str">
        <f t="shared" ca="1" si="371"/>
        <v/>
      </c>
      <c r="AA785" s="316" t="str">
        <f t="shared" ca="1" si="372"/>
        <v/>
      </c>
      <c r="AC785" s="310" t="e">
        <f t="shared" ca="1" si="373"/>
        <v>#N/A</v>
      </c>
      <c r="AD785" s="323" t="e">
        <f t="shared" ca="1" si="374"/>
        <v>#N/A</v>
      </c>
      <c r="AE785" s="324" t="e">
        <f t="shared" ca="1" si="353"/>
        <v>#N/A</v>
      </c>
      <c r="AG785" s="306">
        <f t="shared" ca="1" si="375"/>
        <v>4.0722227993688307</v>
      </c>
      <c r="AH785" s="304">
        <f t="shared" ca="1" si="376"/>
        <v>-5.6680145309483763</v>
      </c>
    </row>
    <row r="786" spans="1:34" x14ac:dyDescent="0.2">
      <c r="A786" s="347">
        <f t="shared" ca="1" si="354"/>
        <v>0.1</v>
      </c>
      <c r="B786" s="304">
        <f t="shared" ca="1" si="355"/>
        <v>46.200000000000315</v>
      </c>
      <c r="D786" s="306">
        <f t="shared" ca="1" si="356"/>
        <v>-0.67495439525079148</v>
      </c>
      <c r="E786" s="307">
        <f t="shared" ca="1" si="357"/>
        <v>-4.1412155560160544</v>
      </c>
      <c r="F786" s="304">
        <f t="shared" ca="1" si="358"/>
        <v>4.1958586388315942</v>
      </c>
      <c r="G786" s="306">
        <f t="shared" ca="1" si="359"/>
        <v>16.712983495059252</v>
      </c>
      <c r="H786" s="307">
        <f t="shared" ca="1" si="360"/>
        <v>-141.34944787735503</v>
      </c>
      <c r="I786" s="304">
        <f t="shared" ca="1" si="361"/>
        <v>142.33407965957846</v>
      </c>
      <c r="J786" s="306">
        <f t="shared" ca="1" si="362"/>
        <v>1239.8146561634901</v>
      </c>
      <c r="K786" s="307">
        <f t="shared" ca="1" si="363"/>
        <v>2334.1086286761843</v>
      </c>
      <c r="L786" s="304">
        <f t="shared" ca="1" si="348"/>
        <v>2642.9535508779586</v>
      </c>
      <c r="M786" s="306">
        <f t="shared" ca="1" si="364"/>
        <v>-1.4531039986609984</v>
      </c>
      <c r="N786" s="304">
        <f t="shared" ca="1" si="365"/>
        <v>-83.256726316858831</v>
      </c>
      <c r="P786" s="310">
        <f t="shared" ca="1" si="366"/>
        <v>23</v>
      </c>
      <c r="Q786" s="304">
        <f t="shared" ca="1" si="367"/>
        <v>0</v>
      </c>
      <c r="R786" s="306">
        <f t="shared" ca="1" si="368"/>
        <v>0</v>
      </c>
      <c r="S786" s="307">
        <f t="shared" ca="1" si="369"/>
        <v>5.6519999999999806</v>
      </c>
      <c r="T786" s="304">
        <f t="shared" ca="1" si="349"/>
        <v>55.446119999999816</v>
      </c>
      <c r="U786" s="311">
        <f t="shared" ca="1" si="350"/>
        <v>0</v>
      </c>
      <c r="V786" s="306">
        <f t="shared" ca="1" si="351"/>
        <v>0.96895368826521144</v>
      </c>
      <c r="W786" s="304">
        <f t="shared" ca="1" si="352"/>
        <v>32.496372113691102</v>
      </c>
      <c r="Y786" s="314" t="str">
        <f t="shared" ca="1" si="370"/>
        <v/>
      </c>
      <c r="Z786" s="315" t="str">
        <f t="shared" ca="1" si="371"/>
        <v/>
      </c>
      <c r="AA786" s="316" t="str">
        <f t="shared" ca="1" si="372"/>
        <v/>
      </c>
      <c r="AC786" s="310" t="e">
        <f t="shared" ca="1" si="373"/>
        <v>#N/A</v>
      </c>
      <c r="AD786" s="323" t="e">
        <f t="shared" ca="1" si="374"/>
        <v>#N/A</v>
      </c>
      <c r="AE786" s="324" t="e">
        <f t="shared" ca="1" si="353"/>
        <v>#N/A</v>
      </c>
      <c r="AG786" s="306">
        <f t="shared" ca="1" si="375"/>
        <v>4.0323701857022192</v>
      </c>
      <c r="AH786" s="304">
        <f t="shared" ca="1" si="376"/>
        <v>-5.7088247921987181</v>
      </c>
    </row>
    <row r="787" spans="1:34" x14ac:dyDescent="0.2">
      <c r="A787" s="347">
        <f t="shared" ca="1" si="354"/>
        <v>0.1</v>
      </c>
      <c r="B787" s="304">
        <f t="shared" ca="1" si="355"/>
        <v>46.300000000000317</v>
      </c>
      <c r="D787" s="306">
        <f t="shared" ca="1" si="356"/>
        <v>-0.67511508598316772</v>
      </c>
      <c r="E787" s="307">
        <f t="shared" ca="1" si="357"/>
        <v>-4.1002388023296756</v>
      </c>
      <c r="F787" s="304">
        <f t="shared" ca="1" si="358"/>
        <v>4.1554468611031421</v>
      </c>
      <c r="G787" s="306">
        <f t="shared" ca="1" si="359"/>
        <v>16.645471986460937</v>
      </c>
      <c r="H787" s="307">
        <f t="shared" ca="1" si="360"/>
        <v>-141.75947175758799</v>
      </c>
      <c r="I787" s="304">
        <f t="shared" ca="1" si="361"/>
        <v>142.73338632093908</v>
      </c>
      <c r="J787" s="306">
        <f t="shared" ca="1" si="362"/>
        <v>1241.4825789375661</v>
      </c>
      <c r="K787" s="307">
        <f t="shared" ca="1" si="363"/>
        <v>2319.9531826944371</v>
      </c>
      <c r="L787" s="304">
        <f t="shared" ca="1" si="348"/>
        <v>2631.2471878748902</v>
      </c>
      <c r="M787" s="306">
        <f t="shared" ca="1" si="364"/>
        <v>-1.4539110266032136</v>
      </c>
      <c r="N787" s="304">
        <f t="shared" ca="1" si="365"/>
        <v>-83.302965611896894</v>
      </c>
      <c r="P787" s="310">
        <f t="shared" ca="1" si="366"/>
        <v>23</v>
      </c>
      <c r="Q787" s="304">
        <f t="shared" ca="1" si="367"/>
        <v>0</v>
      </c>
      <c r="R787" s="306">
        <f t="shared" ca="1" si="368"/>
        <v>0</v>
      </c>
      <c r="S787" s="307">
        <f t="shared" ca="1" si="369"/>
        <v>5.6519999999999806</v>
      </c>
      <c r="T787" s="304">
        <f t="shared" ca="1" si="349"/>
        <v>55.446119999999816</v>
      </c>
      <c r="U787" s="311">
        <f t="shared" ca="1" si="350"/>
        <v>0</v>
      </c>
      <c r="V787" s="306">
        <f t="shared" ca="1" si="351"/>
        <v>0.97034510663721674</v>
      </c>
      <c r="W787" s="304">
        <f t="shared" ca="1" si="352"/>
        <v>32.725886735475918</v>
      </c>
      <c r="Y787" s="314" t="str">
        <f t="shared" ca="1" si="370"/>
        <v/>
      </c>
      <c r="Z787" s="315" t="str">
        <f t="shared" ca="1" si="371"/>
        <v/>
      </c>
      <c r="AA787" s="316" t="str">
        <f t="shared" ca="1" si="372"/>
        <v/>
      </c>
      <c r="AC787" s="310" t="e">
        <f t="shared" ca="1" si="373"/>
        <v>#N/A</v>
      </c>
      <c r="AD787" s="323" t="e">
        <f t="shared" ca="1" si="374"/>
        <v>#N/A</v>
      </c>
      <c r="AE787" s="324" t="e">
        <f t="shared" ca="1" si="353"/>
        <v>#N/A</v>
      </c>
      <c r="AG787" s="306">
        <f t="shared" ca="1" si="375"/>
        <v>3.9926018065699553</v>
      </c>
      <c r="AH787" s="304">
        <f t="shared" ca="1" si="376"/>
        <v>-5.7495350519623516</v>
      </c>
    </row>
    <row r="788" spans="1:34" x14ac:dyDescent="0.2">
      <c r="A788" s="347">
        <f t="shared" ca="1" si="354"/>
        <v>0.1</v>
      </c>
      <c r="B788" s="304">
        <f t="shared" ca="1" si="355"/>
        <v>46.400000000000318</v>
      </c>
      <c r="D788" s="306">
        <f t="shared" ca="1" si="356"/>
        <v>-0.67524257056621606</v>
      </c>
      <c r="E788" s="307">
        <f t="shared" ca="1" si="357"/>
        <v>-4.0593652213910909</v>
      </c>
      <c r="F788" s="304">
        <f t="shared" ca="1" si="358"/>
        <v>4.1151425892360534</v>
      </c>
      <c r="G788" s="306">
        <f t="shared" ca="1" si="359"/>
        <v>16.577947729404315</v>
      </c>
      <c r="H788" s="307">
        <f t="shared" ca="1" si="360"/>
        <v>-142.1654082797271</v>
      </c>
      <c r="I788" s="304">
        <f t="shared" ca="1" si="361"/>
        <v>143.1287240991841</v>
      </c>
      <c r="J788" s="306">
        <f t="shared" ca="1" si="362"/>
        <v>1243.1437499233593</v>
      </c>
      <c r="K788" s="307">
        <f t="shared" ca="1" si="363"/>
        <v>2305.7569386925716</v>
      </c>
      <c r="L788" s="304">
        <f t="shared" ca="1" si="348"/>
        <v>2619.5269502913025</v>
      </c>
      <c r="M788" s="306">
        <f t="shared" ca="1" si="364"/>
        <v>-1.454710332097999</v>
      </c>
      <c r="N788" s="304">
        <f t="shared" ca="1" si="365"/>
        <v>-83.348762443289715</v>
      </c>
      <c r="P788" s="310">
        <f t="shared" ca="1" si="366"/>
        <v>23</v>
      </c>
      <c r="Q788" s="304">
        <f t="shared" ca="1" si="367"/>
        <v>0</v>
      </c>
      <c r="R788" s="306">
        <f t="shared" ca="1" si="368"/>
        <v>0</v>
      </c>
      <c r="S788" s="307">
        <f t="shared" ca="1" si="369"/>
        <v>5.6519999999999806</v>
      </c>
      <c r="T788" s="304">
        <f t="shared" ca="1" si="349"/>
        <v>55.446119999999816</v>
      </c>
      <c r="U788" s="311">
        <f t="shared" ca="1" si="350"/>
        <v>0</v>
      </c>
      <c r="V788" s="306">
        <f t="shared" ca="1" si="351"/>
        <v>0.97174230893291913</v>
      </c>
      <c r="W788" s="304">
        <f t="shared" ca="1" si="352"/>
        <v>32.954807233386987</v>
      </c>
      <c r="Y788" s="314" t="str">
        <f t="shared" ca="1" si="370"/>
        <v/>
      </c>
      <c r="Z788" s="315" t="str">
        <f t="shared" ca="1" si="371"/>
        <v/>
      </c>
      <c r="AA788" s="316" t="str">
        <f t="shared" ca="1" si="372"/>
        <v/>
      </c>
      <c r="AC788" s="310" t="e">
        <f t="shared" ca="1" si="373"/>
        <v>#N/A</v>
      </c>
      <c r="AD788" s="323" t="e">
        <f t="shared" ca="1" si="374"/>
        <v>#N/A</v>
      </c>
      <c r="AE788" s="324" t="e">
        <f t="shared" ca="1" si="353"/>
        <v>#N/A</v>
      </c>
      <c r="AG788" s="306">
        <f t="shared" ca="1" si="375"/>
        <v>3.952920565441171</v>
      </c>
      <c r="AH788" s="304">
        <f t="shared" ca="1" si="376"/>
        <v>-5.7901427345145136</v>
      </c>
    </row>
    <row r="789" spans="1:34" x14ac:dyDescent="0.2">
      <c r="A789" s="347">
        <f t="shared" ca="1" si="354"/>
        <v>0.1</v>
      </c>
      <c r="B789" s="304">
        <f t="shared" ca="1" si="355"/>
        <v>46.50000000000032</v>
      </c>
      <c r="D789" s="306">
        <f t="shared" ca="1" si="356"/>
        <v>-0.67533706887950384</v>
      </c>
      <c r="E789" s="307">
        <f t="shared" ca="1" si="357"/>
        <v>-4.018597367369142</v>
      </c>
      <c r="F789" s="304">
        <f t="shared" ca="1" si="358"/>
        <v>4.0749484607328421</v>
      </c>
      <c r="G789" s="306">
        <f t="shared" ca="1" si="359"/>
        <v>16.510414022516365</v>
      </c>
      <c r="H789" s="307">
        <f t="shared" ca="1" si="360"/>
        <v>-142.56726801646403</v>
      </c>
      <c r="I789" s="304">
        <f t="shared" ca="1" si="361"/>
        <v>143.52010200969477</v>
      </c>
      <c r="J789" s="306">
        <f t="shared" ca="1" si="362"/>
        <v>1244.7981680109554</v>
      </c>
      <c r="K789" s="307">
        <f t="shared" ca="1" si="363"/>
        <v>2291.5203048777621</v>
      </c>
      <c r="L789" s="304">
        <f t="shared" ca="1" si="348"/>
        <v>2607.7936626103115</v>
      </c>
      <c r="M789" s="306">
        <f t="shared" ca="1" si="364"/>
        <v>-1.4555020314409137</v>
      </c>
      <c r="N789" s="304">
        <f t="shared" ca="1" si="365"/>
        <v>-83.394123474282011</v>
      </c>
      <c r="P789" s="310">
        <f t="shared" ca="1" si="366"/>
        <v>23</v>
      </c>
      <c r="Q789" s="304">
        <f t="shared" ca="1" si="367"/>
        <v>0</v>
      </c>
      <c r="R789" s="306">
        <f t="shared" ca="1" si="368"/>
        <v>0</v>
      </c>
      <c r="S789" s="307">
        <f t="shared" ca="1" si="369"/>
        <v>5.6519999999999806</v>
      </c>
      <c r="T789" s="304">
        <f t="shared" ca="1" si="349"/>
        <v>55.446119999999816</v>
      </c>
      <c r="U789" s="311">
        <f t="shared" ca="1" si="350"/>
        <v>0</v>
      </c>
      <c r="V789" s="306">
        <f t="shared" ca="1" si="351"/>
        <v>0.97314527362128689</v>
      </c>
      <c r="W789" s="304">
        <f t="shared" ca="1" si="352"/>
        <v>33.183119451226297</v>
      </c>
      <c r="Y789" s="314" t="str">
        <f t="shared" ca="1" si="370"/>
        <v/>
      </c>
      <c r="Z789" s="315" t="str">
        <f t="shared" ca="1" si="371"/>
        <v/>
      </c>
      <c r="AA789" s="316" t="str">
        <f t="shared" ca="1" si="372"/>
        <v/>
      </c>
      <c r="AC789" s="310" t="e">
        <f t="shared" ca="1" si="373"/>
        <v>#N/A</v>
      </c>
      <c r="AD789" s="323" t="e">
        <f t="shared" ca="1" si="374"/>
        <v>#N/A</v>
      </c>
      <c r="AE789" s="324" t="e">
        <f t="shared" ca="1" si="353"/>
        <v>#N/A</v>
      </c>
      <c r="AG789" s="306">
        <f t="shared" ca="1" si="375"/>
        <v>3.9133293218495888</v>
      </c>
      <c r="AH789" s="304">
        <f t="shared" ca="1" si="376"/>
        <v>-5.8306452996084746</v>
      </c>
    </row>
    <row r="790" spans="1:34" x14ac:dyDescent="0.2">
      <c r="A790" s="347">
        <f t="shared" ca="1" si="354"/>
        <v>0.1</v>
      </c>
      <c r="B790" s="304">
        <f t="shared" ca="1" si="355"/>
        <v>46.600000000000321</v>
      </c>
      <c r="D790" s="306">
        <f t="shared" ca="1" si="356"/>
        <v>-0.67539880331037361</v>
      </c>
      <c r="E790" s="307">
        <f t="shared" ca="1" si="357"/>
        <v>-3.9779377586635816</v>
      </c>
      <c r="F790" s="304">
        <f t="shared" ca="1" si="358"/>
        <v>4.0348670802536386</v>
      </c>
      <c r="G790" s="306">
        <f t="shared" ca="1" si="359"/>
        <v>16.442874142185328</v>
      </c>
      <c r="H790" s="307">
        <f t="shared" ca="1" si="360"/>
        <v>-142.96506179233037</v>
      </c>
      <c r="I790" s="304">
        <f t="shared" ca="1" si="361"/>
        <v>143.90752934902534</v>
      </c>
      <c r="J790" s="306">
        <f t="shared" ca="1" si="362"/>
        <v>1246.4458324191905</v>
      </c>
      <c r="K790" s="307">
        <f t="shared" ca="1" si="363"/>
        <v>2277.2436883873224</v>
      </c>
      <c r="L790" s="304">
        <f t="shared" ca="1" si="348"/>
        <v>2596.0481562280515</v>
      </c>
      <c r="M790" s="306">
        <f t="shared" ca="1" si="364"/>
        <v>-1.4562862385307356</v>
      </c>
      <c r="N790" s="304">
        <f t="shared" ca="1" si="365"/>
        <v>-83.439055230793031</v>
      </c>
      <c r="P790" s="310">
        <f t="shared" ca="1" si="366"/>
        <v>23</v>
      </c>
      <c r="Q790" s="304">
        <f t="shared" ca="1" si="367"/>
        <v>0</v>
      </c>
      <c r="R790" s="306">
        <f t="shared" ca="1" si="368"/>
        <v>0</v>
      </c>
      <c r="S790" s="307">
        <f t="shared" ca="1" si="369"/>
        <v>5.6519999999999806</v>
      </c>
      <c r="T790" s="304">
        <f t="shared" ca="1" si="349"/>
        <v>55.446119999999816</v>
      </c>
      <c r="U790" s="311">
        <f t="shared" ca="1" si="350"/>
        <v>0</v>
      </c>
      <c r="V790" s="306">
        <f t="shared" ca="1" si="351"/>
        <v>0.97455397918202546</v>
      </c>
      <c r="W790" s="304">
        <f t="shared" ca="1" si="352"/>
        <v>33.410809434771018</v>
      </c>
      <c r="Y790" s="314" t="str">
        <f t="shared" ca="1" si="370"/>
        <v/>
      </c>
      <c r="Z790" s="315" t="str">
        <f t="shared" ca="1" si="371"/>
        <v/>
      </c>
      <c r="AA790" s="316" t="str">
        <f t="shared" ca="1" si="372"/>
        <v/>
      </c>
      <c r="AC790" s="310" t="e">
        <f t="shared" ca="1" si="373"/>
        <v>#N/A</v>
      </c>
      <c r="AD790" s="323" t="e">
        <f t="shared" ca="1" si="374"/>
        <v>#N/A</v>
      </c>
      <c r="AE790" s="324" t="e">
        <f t="shared" ca="1" si="353"/>
        <v>#N/A</v>
      </c>
      <c r="AG790" s="306">
        <f t="shared" ca="1" si="375"/>
        <v>3.8738308915198569</v>
      </c>
      <c r="AH790" s="304">
        <f t="shared" ca="1" si="376"/>
        <v>-5.8710402426090607</v>
      </c>
    </row>
    <row r="791" spans="1:34" x14ac:dyDescent="0.2">
      <c r="A791" s="347">
        <f t="shared" ca="1" si="354"/>
        <v>0.1</v>
      </c>
      <c r="B791" s="304">
        <f t="shared" ca="1" si="355"/>
        <v>46.700000000000323</v>
      </c>
      <c r="D791" s="306">
        <f t="shared" ca="1" si="356"/>
        <v>-0.67542799868779291</v>
      </c>
      <c r="E791" s="307">
        <f t="shared" ca="1" si="357"/>
        <v>-3.9373888777794424</v>
      </c>
      <c r="F791" s="304">
        <f t="shared" ca="1" si="358"/>
        <v>3.9949010195839212</v>
      </c>
      <c r="G791" s="306">
        <f t="shared" ca="1" si="359"/>
        <v>16.375331342316549</v>
      </c>
      <c r="H791" s="307">
        <f t="shared" ca="1" si="360"/>
        <v>-143.35880068010832</v>
      </c>
      <c r="I791" s="304">
        <f t="shared" ca="1" si="361"/>
        <v>144.291015690547</v>
      </c>
      <c r="J791" s="306">
        <f t="shared" ca="1" si="362"/>
        <v>1248.0867426934155</v>
      </c>
      <c r="K791" s="307">
        <f t="shared" ca="1" si="363"/>
        <v>2262.9274952637006</v>
      </c>
      <c r="L791" s="304">
        <f t="shared" ca="1" si="348"/>
        <v>2584.2912695954974</v>
      </c>
      <c r="M791" s="306">
        <f t="shared" ca="1" si="364"/>
        <v>-1.4570630649300647</v>
      </c>
      <c r="N791" s="304">
        <f t="shared" ca="1" si="365"/>
        <v>-83.483564104888941</v>
      </c>
      <c r="P791" s="310">
        <f t="shared" ca="1" si="366"/>
        <v>23</v>
      </c>
      <c r="Q791" s="304">
        <f t="shared" ca="1" si="367"/>
        <v>0</v>
      </c>
      <c r="R791" s="306">
        <f t="shared" ca="1" si="368"/>
        <v>0</v>
      </c>
      <c r="S791" s="307">
        <f t="shared" ca="1" si="369"/>
        <v>5.6519999999999806</v>
      </c>
      <c r="T791" s="304">
        <f t="shared" ca="1" si="349"/>
        <v>55.446119999999816</v>
      </c>
      <c r="U791" s="311">
        <f t="shared" ca="1" si="350"/>
        <v>0</v>
      </c>
      <c r="V791" s="306">
        <f t="shared" ca="1" si="351"/>
        <v>0.97596840410698238</v>
      </c>
      <c r="W791" s="304">
        <f t="shared" ca="1" si="352"/>
        <v>33.637863432416573</v>
      </c>
      <c r="Y791" s="314" t="str">
        <f t="shared" ca="1" si="370"/>
        <v/>
      </c>
      <c r="Z791" s="315" t="str">
        <f t="shared" ca="1" si="371"/>
        <v/>
      </c>
      <c r="AA791" s="316" t="str">
        <f t="shared" ca="1" si="372"/>
        <v/>
      </c>
      <c r="AC791" s="310" t="e">
        <f t="shared" ca="1" si="373"/>
        <v>#N/A</v>
      </c>
      <c r="AD791" s="323" t="e">
        <f t="shared" ca="1" si="374"/>
        <v>#N/A</v>
      </c>
      <c r="AE791" s="324" t="e">
        <f t="shared" ca="1" si="353"/>
        <v>#N/A</v>
      </c>
      <c r="AG791" s="306">
        <f t="shared" ca="1" si="375"/>
        <v>3.8344280464945539</v>
      </c>
      <c r="AH791" s="304">
        <f t="shared" ca="1" si="376"/>
        <v>-5.9113250946162657</v>
      </c>
    </row>
    <row r="792" spans="1:34" x14ac:dyDescent="0.2">
      <c r="A792" s="347">
        <f t="shared" ca="1" si="354"/>
        <v>0.1</v>
      </c>
      <c r="B792" s="304">
        <f t="shared" ca="1" si="355"/>
        <v>46.800000000000324</v>
      </c>
      <c r="D792" s="306">
        <f t="shared" ca="1" si="356"/>
        <v>-0.67542488221641439</v>
      </c>
      <c r="E792" s="307">
        <f t="shared" ca="1" si="357"/>
        <v>-3.896953171211325</v>
      </c>
      <c r="F792" s="304">
        <f t="shared" ca="1" si="358"/>
        <v>3.9550528176158481</v>
      </c>
      <c r="G792" s="306">
        <f t="shared" ca="1" si="359"/>
        <v>16.307788854094909</v>
      </c>
      <c r="H792" s="307">
        <f t="shared" ca="1" si="360"/>
        <v>-143.74849599722944</v>
      </c>
      <c r="I792" s="304">
        <f t="shared" ca="1" si="361"/>
        <v>144.67057088010412</v>
      </c>
      <c r="J792" s="306">
        <f t="shared" ca="1" si="362"/>
        <v>1249.7208987032361</v>
      </c>
      <c r="K792" s="307">
        <f t="shared" ca="1" si="363"/>
        <v>2248.5721304298336</v>
      </c>
      <c r="L792" s="304">
        <f t="shared" ca="1" si="348"/>
        <v>2572.5238483639728</v>
      </c>
      <c r="M792" s="306">
        <f t="shared" ca="1" si="364"/>
        <v>-1.4578326199241158</v>
      </c>
      <c r="N792" s="304">
        <f t="shared" ca="1" si="365"/>
        <v>-83.52765635815129</v>
      </c>
      <c r="P792" s="310">
        <f t="shared" ca="1" si="366"/>
        <v>23</v>
      </c>
      <c r="Q792" s="304">
        <f t="shared" ca="1" si="367"/>
        <v>0</v>
      </c>
      <c r="R792" s="306">
        <f t="shared" ca="1" si="368"/>
        <v>0</v>
      </c>
      <c r="S792" s="307">
        <f t="shared" ca="1" si="369"/>
        <v>5.6519999999999806</v>
      </c>
      <c r="T792" s="304">
        <f t="shared" ca="1" si="349"/>
        <v>55.446119999999816</v>
      </c>
      <c r="U792" s="311">
        <f t="shared" ca="1" si="350"/>
        <v>0</v>
      </c>
      <c r="V792" s="306">
        <f t="shared" ca="1" si="351"/>
        <v>0.97738852690153921</v>
      </c>
      <c r="W792" s="304">
        <f t="shared" ca="1" si="352"/>
        <v>33.864267895764229</v>
      </c>
      <c r="Y792" s="314" t="str">
        <f t="shared" ca="1" si="370"/>
        <v/>
      </c>
      <c r="Z792" s="315" t="str">
        <f t="shared" ca="1" si="371"/>
        <v/>
      </c>
      <c r="AA792" s="316" t="str">
        <f t="shared" ca="1" si="372"/>
        <v/>
      </c>
      <c r="AC792" s="310" t="e">
        <f t="shared" ca="1" si="373"/>
        <v>#N/A</v>
      </c>
      <c r="AD792" s="323" t="e">
        <f t="shared" ca="1" si="374"/>
        <v>#N/A</v>
      </c>
      <c r="AE792" s="324" t="e">
        <f t="shared" ca="1" si="353"/>
        <v>#N/A</v>
      </c>
      <c r="AG792" s="306">
        <f t="shared" ca="1" si="375"/>
        <v>3.7951235152621985</v>
      </c>
      <c r="AH792" s="304">
        <f t="shared" ca="1" si="376"/>
        <v>-5.951497422579032</v>
      </c>
    </row>
    <row r="793" spans="1:34" x14ac:dyDescent="0.2">
      <c r="A793" s="347">
        <f t="shared" ca="1" si="354"/>
        <v>0.1</v>
      </c>
      <c r="B793" s="304">
        <f t="shared" ca="1" si="355"/>
        <v>46.900000000000325</v>
      </c>
      <c r="D793" s="306">
        <f t="shared" ca="1" si="356"/>
        <v>-0.67538968341081274</v>
      </c>
      <c r="E793" s="307">
        <f t="shared" ca="1" si="357"/>
        <v>-3.8566330493376055</v>
      </c>
      <c r="F793" s="304">
        <f t="shared" ca="1" si="358"/>
        <v>3.9153249803433732</v>
      </c>
      <c r="G793" s="306">
        <f t="shared" ca="1" si="359"/>
        <v>16.240249885753826</v>
      </c>
      <c r="H793" s="307">
        <f t="shared" ca="1" si="360"/>
        <v>-144.1341593021632</v>
      </c>
      <c r="I793" s="304">
        <f t="shared" ca="1" si="361"/>
        <v>145.04620503168323</v>
      </c>
      <c r="J793" s="306">
        <f t="shared" ca="1" si="362"/>
        <v>1251.3483006402284</v>
      </c>
      <c r="K793" s="307">
        <f t="shared" ca="1" si="363"/>
        <v>2234.1779976648641</v>
      </c>
      <c r="L793" s="304">
        <f t="shared" ca="1" si="348"/>
        <v>2560.7467455343894</v>
      </c>
      <c r="M793" s="306">
        <f t="shared" ca="1" si="364"/>
        <v>-1.4585950105777605</v>
      </c>
      <c r="N793" s="304">
        <f t="shared" ca="1" si="365"/>
        <v>-83.571338124945342</v>
      </c>
      <c r="P793" s="310">
        <f t="shared" ca="1" si="366"/>
        <v>23</v>
      </c>
      <c r="Q793" s="304">
        <f t="shared" ca="1" si="367"/>
        <v>0</v>
      </c>
      <c r="R793" s="306">
        <f t="shared" ca="1" si="368"/>
        <v>0</v>
      </c>
      <c r="S793" s="307">
        <f t="shared" ca="1" si="369"/>
        <v>5.6519999999999806</v>
      </c>
      <c r="T793" s="304">
        <f t="shared" ca="1" si="349"/>
        <v>55.446119999999816</v>
      </c>
      <c r="U793" s="311">
        <f t="shared" ca="1" si="350"/>
        <v>0</v>
      </c>
      <c r="V793" s="306">
        <f t="shared" ca="1" si="351"/>
        <v>0.97881432608600172</v>
      </c>
      <c r="W793" s="304">
        <f t="shared" ca="1" si="352"/>
        <v>34.090009480154222</v>
      </c>
      <c r="Y793" s="314" t="str">
        <f t="shared" ca="1" si="370"/>
        <v/>
      </c>
      <c r="Z793" s="315" t="str">
        <f t="shared" ca="1" si="371"/>
        <v/>
      </c>
      <c r="AA793" s="316" t="str">
        <f t="shared" ca="1" si="372"/>
        <v/>
      </c>
      <c r="AC793" s="310" t="e">
        <f t="shared" ca="1" si="373"/>
        <v>#N/A</v>
      </c>
      <c r="AD793" s="323" t="e">
        <f t="shared" ca="1" si="374"/>
        <v>#N/A</v>
      </c>
      <c r="AE793" s="324" t="e">
        <f t="shared" ca="1" si="353"/>
        <v>#N/A</v>
      </c>
      <c r="AG793" s="306">
        <f t="shared" ca="1" si="375"/>
        <v>3.755919982886577</v>
      </c>
      <c r="AH793" s="304">
        <f t="shared" ca="1" si="376"/>
        <v>-5.9915548293992122</v>
      </c>
    </row>
    <row r="794" spans="1:34" x14ac:dyDescent="0.2">
      <c r="A794" s="347">
        <f t="shared" ca="1" si="354"/>
        <v>0.1</v>
      </c>
      <c r="B794" s="304">
        <f t="shared" ca="1" si="355"/>
        <v>47.000000000000327</v>
      </c>
      <c r="D794" s="306">
        <f t="shared" ca="1" si="356"/>
        <v>-0.67532263402994452</v>
      </c>
      <c r="E794" s="307">
        <f t="shared" ca="1" si="357"/>
        <v>-3.8164308863243566</v>
      </c>
      <c r="F794" s="304">
        <f t="shared" ca="1" si="358"/>
        <v>3.8757199808711227</v>
      </c>
      <c r="G794" s="306">
        <f t="shared" ca="1" si="359"/>
        <v>16.172717622350831</v>
      </c>
      <c r="H794" s="307">
        <f t="shared" ca="1" si="360"/>
        <v>-144.51580239079564</v>
      </c>
      <c r="I794" s="304">
        <f t="shared" ca="1" si="361"/>
        <v>145.41792852309439</v>
      </c>
      <c r="J794" s="306">
        <f t="shared" ca="1" si="362"/>
        <v>1252.9689490156336</v>
      </c>
      <c r="K794" s="307">
        <f t="shared" ca="1" si="363"/>
        <v>2219.7454995802159</v>
      </c>
      <c r="L794" s="304">
        <f t="shared" ca="1" si="348"/>
        <v>2548.9608216102429</v>
      </c>
      <c r="M794" s="306">
        <f t="shared" ca="1" si="364"/>
        <v>-1.4593503417908753</v>
      </c>
      <c r="N794" s="304">
        <f t="shared" ca="1" si="365"/>
        <v>-83.614615415591317</v>
      </c>
      <c r="P794" s="310">
        <f t="shared" ca="1" si="366"/>
        <v>23</v>
      </c>
      <c r="Q794" s="304">
        <f t="shared" ca="1" si="367"/>
        <v>0</v>
      </c>
      <c r="R794" s="306">
        <f t="shared" ca="1" si="368"/>
        <v>0</v>
      </c>
      <c r="S794" s="307">
        <f t="shared" ca="1" si="369"/>
        <v>5.6519999999999806</v>
      </c>
      <c r="T794" s="304">
        <f t="shared" ca="1" si="349"/>
        <v>55.446119999999816</v>
      </c>
      <c r="U794" s="311">
        <f t="shared" ca="1" si="350"/>
        <v>0</v>
      </c>
      <c r="V794" s="306">
        <f t="shared" ca="1" si="351"/>
        <v>0.98024578019697539</v>
      </c>
      <c r="W794" s="304">
        <f t="shared" ca="1" si="352"/>
        <v>34.315075045143892</v>
      </c>
      <c r="Y794" s="314" t="str">
        <f t="shared" ca="1" si="370"/>
        <v/>
      </c>
      <c r="Z794" s="315" t="str">
        <f t="shared" ca="1" si="371"/>
        <v/>
      </c>
      <c r="AA794" s="316" t="str">
        <f t="shared" ca="1" si="372"/>
        <v/>
      </c>
      <c r="AC794" s="310">
        <f t="shared" ca="1" si="373"/>
        <v>47.000000000000327</v>
      </c>
      <c r="AD794" s="323">
        <f t="shared" ca="1" si="374"/>
        <v>1252.9689490156336</v>
      </c>
      <c r="AE794" s="324" t="e">
        <f t="shared" ca="1" si="353"/>
        <v>#N/A</v>
      </c>
      <c r="AG794" s="306">
        <f t="shared" ca="1" si="375"/>
        <v>3.7168200911375671</v>
      </c>
      <c r="AH794" s="304">
        <f t="shared" ca="1" si="376"/>
        <v>-6.0314949540258915</v>
      </c>
    </row>
    <row r="795" spans="1:34" x14ac:dyDescent="0.2">
      <c r="A795" s="347">
        <f t="shared" ca="1" si="354"/>
        <v>0.1</v>
      </c>
      <c r="B795" s="304">
        <f t="shared" ca="1" si="355"/>
        <v>47.100000000000328</v>
      </c>
      <c r="D795" s="306">
        <f t="shared" ca="1" si="356"/>
        <v>-0.67522396801184037</v>
      </c>
      <c r="E795" s="307">
        <f t="shared" ca="1" si="357"/>
        <v>-3.7763490200390972</v>
      </c>
      <c r="F795" s="304">
        <f t="shared" ca="1" si="358"/>
        <v>3.8362402594373446</v>
      </c>
      <c r="G795" s="306">
        <f t="shared" ca="1" si="359"/>
        <v>16.105195225549647</v>
      </c>
      <c r="H795" s="307">
        <f t="shared" ca="1" si="360"/>
        <v>-144.89343729279955</v>
      </c>
      <c r="I795" s="304">
        <f t="shared" ca="1" si="361"/>
        <v>145.78575199166585</v>
      </c>
      <c r="J795" s="306">
        <f t="shared" ca="1" si="362"/>
        <v>1254.5828446580285</v>
      </c>
      <c r="K795" s="307">
        <f t="shared" ca="1" si="363"/>
        <v>2205.2750375960363</v>
      </c>
      <c r="L795" s="304">
        <f t="shared" ca="1" si="348"/>
        <v>2537.1669447544105</v>
      </c>
      <c r="M795" s="306">
        <f t="shared" ca="1" si="364"/>
        <v>-1.4600987163520618</v>
      </c>
      <c r="N795" s="304">
        <f t="shared" ca="1" si="365"/>
        <v>-83.657494119442262</v>
      </c>
      <c r="P795" s="310">
        <f t="shared" ca="1" si="366"/>
        <v>23</v>
      </c>
      <c r="Q795" s="304">
        <f t="shared" ca="1" si="367"/>
        <v>0</v>
      </c>
      <c r="R795" s="306">
        <f t="shared" ca="1" si="368"/>
        <v>0</v>
      </c>
      <c r="S795" s="307">
        <f t="shared" ca="1" si="369"/>
        <v>5.6519999999999806</v>
      </c>
      <c r="T795" s="304">
        <f t="shared" ca="1" si="349"/>
        <v>55.446119999999816</v>
      </c>
      <c r="U795" s="311">
        <f t="shared" ca="1" si="350"/>
        <v>0</v>
      </c>
      <c r="V795" s="306">
        <f t="shared" ca="1" si="351"/>
        <v>0.9816828677887337</v>
      </c>
      <c r="W795" s="304">
        <f t="shared" ca="1" si="352"/>
        <v>34.539451654931973</v>
      </c>
      <c r="Y795" s="314" t="str">
        <f t="shared" ca="1" si="370"/>
        <v/>
      </c>
      <c r="Z795" s="315" t="str">
        <f t="shared" ca="1" si="371"/>
        <v/>
      </c>
      <c r="AA795" s="316" t="str">
        <f t="shared" ca="1" si="372"/>
        <v/>
      </c>
      <c r="AC795" s="310" t="e">
        <f t="shared" ca="1" si="373"/>
        <v>#N/A</v>
      </c>
      <c r="AD795" s="323" t="e">
        <f t="shared" ca="1" si="374"/>
        <v>#N/A</v>
      </c>
      <c r="AE795" s="324" t="e">
        <f t="shared" ca="1" si="353"/>
        <v>#N/A</v>
      </c>
      <c r="AG795" s="306">
        <f t="shared" ca="1" si="375"/>
        <v>3.6778264386238266</v>
      </c>
      <c r="AH795" s="304">
        <f t="shared" ca="1" si="376"/>
        <v>-6.0713154715399877</v>
      </c>
    </row>
    <row r="796" spans="1:34" x14ac:dyDescent="0.2">
      <c r="A796" s="347">
        <f t="shared" ca="1" si="354"/>
        <v>0.1</v>
      </c>
      <c r="B796" s="304">
        <f t="shared" ca="1" si="355"/>
        <v>47.20000000000033</v>
      </c>
      <c r="D796" s="306">
        <f t="shared" ca="1" si="356"/>
        <v>-0.67509392140851854</v>
      </c>
      <c r="E796" s="307">
        <f t="shared" ca="1" si="357"/>
        <v>-3.736389751974154</v>
      </c>
      <c r="F796" s="304">
        <f t="shared" ca="1" si="358"/>
        <v>3.7968882234509107</v>
      </c>
      <c r="G796" s="306">
        <f t="shared" ca="1" si="359"/>
        <v>16.037685833408794</v>
      </c>
      <c r="H796" s="307">
        <f t="shared" ca="1" si="360"/>
        <v>-145.26707626799697</v>
      </c>
      <c r="I796" s="304">
        <f t="shared" ca="1" si="361"/>
        <v>146.14968632995135</v>
      </c>
      <c r="J796" s="306">
        <f t="shared" ca="1" si="362"/>
        <v>1256.1899887109764</v>
      </c>
      <c r="K796" s="307">
        <f t="shared" ca="1" si="363"/>
        <v>2190.7670119179966</v>
      </c>
      <c r="L796" s="304">
        <f t="shared" ca="1" si="348"/>
        <v>2525.3659909497851</v>
      </c>
      <c r="M796" s="306">
        <f t="shared" ca="1" si="364"/>
        <v>-1.4608402349907867</v>
      </c>
      <c r="N796" s="304">
        <f t="shared" ca="1" si="365"/>
        <v>-83.699980007871488</v>
      </c>
      <c r="P796" s="310">
        <f t="shared" ca="1" si="366"/>
        <v>23</v>
      </c>
      <c r="Q796" s="304">
        <f t="shared" ca="1" si="367"/>
        <v>0</v>
      </c>
      <c r="R796" s="306">
        <f t="shared" ca="1" si="368"/>
        <v>0</v>
      </c>
      <c r="S796" s="307">
        <f t="shared" ca="1" si="369"/>
        <v>5.6519999999999806</v>
      </c>
      <c r="T796" s="304">
        <f t="shared" ca="1" si="349"/>
        <v>55.446119999999816</v>
      </c>
      <c r="U796" s="311">
        <f t="shared" ca="1" si="350"/>
        <v>0</v>
      </c>
      <c r="V796" s="306">
        <f t="shared" ca="1" si="351"/>
        <v>0.98312556743458068</v>
      </c>
      <c r="W796" s="304">
        <f t="shared" ca="1" si="352"/>
        <v>34.763126578729086</v>
      </c>
      <c r="Y796" s="314" t="str">
        <f t="shared" ca="1" si="370"/>
        <v/>
      </c>
      <c r="Z796" s="315" t="str">
        <f t="shared" ca="1" si="371"/>
        <v/>
      </c>
      <c r="AA796" s="316" t="str">
        <f t="shared" ca="1" si="372"/>
        <v/>
      </c>
      <c r="AC796" s="310" t="e">
        <f t="shared" ca="1" si="373"/>
        <v>#N/A</v>
      </c>
      <c r="AD796" s="323" t="e">
        <f t="shared" ca="1" si="374"/>
        <v>#N/A</v>
      </c>
      <c r="AE796" s="324" t="e">
        <f t="shared" ca="1" si="353"/>
        <v>#N/A</v>
      </c>
      <c r="AG796" s="306">
        <f t="shared" ca="1" si="375"/>
        <v>3.6389415809275212</v>
      </c>
      <c r="AH796" s="304">
        <f t="shared" ca="1" si="376"/>
        <v>-6.1110140932293158</v>
      </c>
    </row>
    <row r="797" spans="1:34" x14ac:dyDescent="0.2">
      <c r="A797" s="347">
        <f t="shared" ca="1" si="354"/>
        <v>0.1</v>
      </c>
      <c r="B797" s="304">
        <f t="shared" ca="1" si="355"/>
        <v>47.300000000000331</v>
      </c>
      <c r="D797" s="306">
        <f t="shared" ca="1" si="356"/>
        <v>-0.67493273232116435</v>
      </c>
      <c r="E797" s="307">
        <f t="shared" ca="1" si="357"/>
        <v>-3.6965553471796175</v>
      </c>
      <c r="F797" s="304">
        <f t="shared" ca="1" si="358"/>
        <v>3.7576662475425802</v>
      </c>
      <c r="G797" s="306">
        <f t="shared" ca="1" si="359"/>
        <v>15.970192560176677</v>
      </c>
      <c r="H797" s="307">
        <f t="shared" ca="1" si="360"/>
        <v>-145.63673180271493</v>
      </c>
      <c r="I797" s="304">
        <f t="shared" ca="1" si="361"/>
        <v>146.5097426814512</v>
      </c>
      <c r="J797" s="306">
        <f t="shared" ca="1" si="362"/>
        <v>1257.7903826306556</v>
      </c>
      <c r="K797" s="307">
        <f t="shared" ca="1" si="363"/>
        <v>2176.2218215144608</v>
      </c>
      <c r="L797" s="304">
        <f t="shared" ca="1" si="348"/>
        <v>2513.558844163766</v>
      </c>
      <c r="M797" s="306">
        <f t="shared" ca="1" si="364"/>
        <v>-1.4615749964279987</v>
      </c>
      <c r="N797" s="304">
        <f t="shared" ca="1" si="365"/>
        <v>-83.742078737172704</v>
      </c>
      <c r="P797" s="310">
        <f t="shared" ca="1" si="366"/>
        <v>23</v>
      </c>
      <c r="Q797" s="304">
        <f t="shared" ca="1" si="367"/>
        <v>0</v>
      </c>
      <c r="R797" s="306">
        <f t="shared" ca="1" si="368"/>
        <v>0</v>
      </c>
      <c r="S797" s="307">
        <f t="shared" ca="1" si="369"/>
        <v>5.6519999999999806</v>
      </c>
      <c r="T797" s="304">
        <f t="shared" ca="1" si="349"/>
        <v>55.446119999999816</v>
      </c>
      <c r="U797" s="311">
        <f t="shared" ca="1" si="350"/>
        <v>0</v>
      </c>
      <c r="V797" s="306">
        <f t="shared" ca="1" si="351"/>
        <v>0.98457385772820027</v>
      </c>
      <c r="W797" s="304">
        <f t="shared" ca="1" si="352"/>
        <v>34.986087291074931</v>
      </c>
      <c r="Y797" s="314" t="str">
        <f t="shared" ca="1" si="370"/>
        <v/>
      </c>
      <c r="Z797" s="315" t="str">
        <f t="shared" ca="1" si="371"/>
        <v/>
      </c>
      <c r="AA797" s="316" t="str">
        <f t="shared" ca="1" si="372"/>
        <v/>
      </c>
      <c r="AC797" s="310" t="e">
        <f t="shared" ca="1" si="373"/>
        <v>#N/A</v>
      </c>
      <c r="AD797" s="323" t="e">
        <f t="shared" ca="1" si="374"/>
        <v>#N/A</v>
      </c>
      <c r="AE797" s="324" t="e">
        <f t="shared" ca="1" si="353"/>
        <v>#N/A</v>
      </c>
      <c r="AG797" s="306">
        <f t="shared" ca="1" si="375"/>
        <v>3.6001680307413206</v>
      </c>
      <c r="AH797" s="304">
        <f t="shared" ca="1" si="376"/>
        <v>-6.1505885666541413</v>
      </c>
    </row>
    <row r="798" spans="1:34" x14ac:dyDescent="0.2">
      <c r="A798" s="347">
        <f t="shared" ca="1" si="354"/>
        <v>0.1</v>
      </c>
      <c r="B798" s="304">
        <f t="shared" ca="1" si="355"/>
        <v>47.400000000000333</v>
      </c>
      <c r="D798" s="306">
        <f t="shared" ca="1" si="356"/>
        <v>-0.67474064083557583</v>
      </c>
      <c r="E798" s="307">
        <f t="shared" ca="1" si="357"/>
        <v>-3.6568480342058223</v>
      </c>
      <c r="F798" s="304">
        <f t="shared" ca="1" si="358"/>
        <v>3.7185766736306771</v>
      </c>
      <c r="G798" s="306">
        <f t="shared" ca="1" si="359"/>
        <v>15.90271849609312</v>
      </c>
      <c r="H798" s="307">
        <f t="shared" ca="1" si="360"/>
        <v>-146.00241660613551</v>
      </c>
      <c r="I798" s="304">
        <f t="shared" ca="1" si="361"/>
        <v>146.86593243634664</v>
      </c>
      <c r="J798" s="306">
        <f t="shared" ca="1" si="362"/>
        <v>1259.3840281834691</v>
      </c>
      <c r="K798" s="307">
        <f t="shared" ca="1" si="363"/>
        <v>2161.6398640940183</v>
      </c>
      <c r="L798" s="304">
        <f t="shared" ca="1" si="348"/>
        <v>2501.7463965166467</v>
      </c>
      <c r="M798" s="306">
        <f t="shared" ca="1" si="364"/>
        <v>-1.4623030974252746</v>
      </c>
      <c r="N798" s="304">
        <f t="shared" ca="1" si="365"/>
        <v>-83.783795851375871</v>
      </c>
      <c r="P798" s="310">
        <f t="shared" ca="1" si="366"/>
        <v>23</v>
      </c>
      <c r="Q798" s="304">
        <f t="shared" ca="1" si="367"/>
        <v>0</v>
      </c>
      <c r="R798" s="306">
        <f t="shared" ca="1" si="368"/>
        <v>0</v>
      </c>
      <c r="S798" s="307">
        <f t="shared" ca="1" si="369"/>
        <v>5.6519999999999806</v>
      </c>
      <c r="T798" s="304">
        <f t="shared" ca="1" si="349"/>
        <v>55.446119999999816</v>
      </c>
      <c r="U798" s="311">
        <f t="shared" ca="1" si="350"/>
        <v>0</v>
      </c>
      <c r="V798" s="306">
        <f t="shared" ca="1" si="351"/>
        <v>0.98602771728499772</v>
      </c>
      <c r="W798" s="304">
        <f t="shared" ca="1" si="352"/>
        <v>35.208321472102661</v>
      </c>
      <c r="Y798" s="314" t="str">
        <f t="shared" ca="1" si="370"/>
        <v/>
      </c>
      <c r="Z798" s="315" t="str">
        <f t="shared" ca="1" si="371"/>
        <v/>
      </c>
      <c r="AA798" s="316" t="str">
        <f t="shared" ca="1" si="372"/>
        <v/>
      </c>
      <c r="AC798" s="310" t="e">
        <f t="shared" ca="1" si="373"/>
        <v>#N/A</v>
      </c>
      <c r="AD798" s="323" t="e">
        <f t="shared" ca="1" si="374"/>
        <v>#N/A</v>
      </c>
      <c r="AE798" s="324" t="e">
        <f t="shared" ca="1" si="353"/>
        <v>#N/A</v>
      </c>
      <c r="AG798" s="306">
        <f t="shared" ca="1" si="375"/>
        <v>3.5615082580078772</v>
      </c>
      <c r="AH798" s="304">
        <f t="shared" ca="1" si="376"/>
        <v>-6.1900366757032996</v>
      </c>
    </row>
    <row r="799" spans="1:34" x14ac:dyDescent="0.2">
      <c r="A799" s="347">
        <f t="shared" ca="1" si="354"/>
        <v>0.1</v>
      </c>
      <c r="B799" s="304">
        <f t="shared" ca="1" si="355"/>
        <v>47.500000000000334</v>
      </c>
      <c r="D799" s="306">
        <f t="shared" ca="1" si="356"/>
        <v>-0.67451788895787412</v>
      </c>
      <c r="E799" s="307">
        <f t="shared" ca="1" si="357"/>
        <v>-3.6172700050552473</v>
      </c>
      <c r="F799" s="304">
        <f t="shared" ca="1" si="358"/>
        <v>3.6796218110013124</v>
      </c>
      <c r="G799" s="306">
        <f t="shared" ca="1" si="359"/>
        <v>15.835266707197333</v>
      </c>
      <c r="H799" s="307">
        <f t="shared" ca="1" si="360"/>
        <v>-146.36414360664105</v>
      </c>
      <c r="I799" s="304">
        <f t="shared" ca="1" si="361"/>
        <v>147.21826722724839</v>
      </c>
      <c r="J799" s="306">
        <f t="shared" ca="1" si="362"/>
        <v>1260.9709274436336</v>
      </c>
      <c r="K799" s="307">
        <f t="shared" ca="1" si="363"/>
        <v>2147.0215360833795</v>
      </c>
      <c r="L799" s="304">
        <f t="shared" ca="1" si="348"/>
        <v>2489.9295484539102</v>
      </c>
      <c r="M799" s="306">
        <f t="shared" ca="1" si="364"/>
        <v>-1.4630246328325407</v>
      </c>
      <c r="N799" s="304">
        <f t="shared" ca="1" si="365"/>
        <v>-83.825136784981467</v>
      </c>
      <c r="P799" s="310">
        <f t="shared" ca="1" si="366"/>
        <v>23</v>
      </c>
      <c r="Q799" s="304">
        <f t="shared" ca="1" si="367"/>
        <v>0</v>
      </c>
      <c r="R799" s="306">
        <f t="shared" ca="1" si="368"/>
        <v>0</v>
      </c>
      <c r="S799" s="307">
        <f t="shared" ca="1" si="369"/>
        <v>5.6519999999999806</v>
      </c>
      <c r="T799" s="304">
        <f t="shared" ca="1" si="349"/>
        <v>55.446119999999816</v>
      </c>
      <c r="U799" s="311">
        <f t="shared" ca="1" si="350"/>
        <v>0</v>
      </c>
      <c r="V799" s="306">
        <f t="shared" ca="1" si="351"/>
        <v>0.98748712474343292</v>
      </c>
      <c r="W799" s="304">
        <f t="shared" ca="1" si="352"/>
        <v>35.429817007750948</v>
      </c>
      <c r="Y799" s="314" t="str">
        <f t="shared" ca="1" si="370"/>
        <v/>
      </c>
      <c r="Z799" s="315" t="str">
        <f t="shared" ca="1" si="371"/>
        <v/>
      </c>
      <c r="AA799" s="316" t="str">
        <f t="shared" ca="1" si="372"/>
        <v/>
      </c>
      <c r="AC799" s="310" t="e">
        <f t="shared" ca="1" si="373"/>
        <v>#N/A</v>
      </c>
      <c r="AD799" s="323" t="e">
        <f t="shared" ca="1" si="374"/>
        <v>#N/A</v>
      </c>
      <c r="AE799" s="324" t="e">
        <f t="shared" ca="1" si="353"/>
        <v>#N/A</v>
      </c>
      <c r="AG799" s="306">
        <f t="shared" ca="1" si="375"/>
        <v>3.5229646900619827</v>
      </c>
      <c r="AH799" s="304">
        <f t="shared" ca="1" si="376"/>
        <v>-6.229356240640973</v>
      </c>
    </row>
    <row r="800" spans="1:34" x14ac:dyDescent="0.2">
      <c r="A800" s="347">
        <f t="shared" ca="1" si="354"/>
        <v>0.1</v>
      </c>
      <c r="B800" s="304">
        <f t="shared" ca="1" si="355"/>
        <v>47.600000000000335</v>
      </c>
      <c r="D800" s="306">
        <f t="shared" ca="1" si="356"/>
        <v>-0.67426472055052644</v>
      </c>
      <c r="E800" s="307">
        <f t="shared" ca="1" si="357"/>
        <v>-3.57782341514375</v>
      </c>
      <c r="F800" s="304">
        <f t="shared" ca="1" si="358"/>
        <v>3.6408039364033278</v>
      </c>
      <c r="G800" s="306">
        <f t="shared" ca="1" si="359"/>
        <v>15.76784023514228</v>
      </c>
      <c r="H800" s="307">
        <f t="shared" ca="1" si="360"/>
        <v>-146.72192594815542</v>
      </c>
      <c r="I800" s="304">
        <f t="shared" ca="1" si="361"/>
        <v>147.56675892495903</v>
      </c>
      <c r="J800" s="306">
        <f t="shared" ca="1" si="362"/>
        <v>1262.5510827907506</v>
      </c>
      <c r="K800" s="307">
        <f t="shared" ca="1" si="363"/>
        <v>2132.3672326056399</v>
      </c>
      <c r="L800" s="304">
        <f t="shared" ca="1" si="348"/>
        <v>2478.1092089224662</v>
      </c>
      <c r="M800" s="306">
        <f t="shared" ca="1" si="364"/>
        <v>-1.4637396956344206</v>
      </c>
      <c r="N800" s="304">
        <f t="shared" ca="1" si="365"/>
        <v>-83.86610686561599</v>
      </c>
      <c r="P800" s="310">
        <f t="shared" ca="1" si="366"/>
        <v>23</v>
      </c>
      <c r="Q800" s="304">
        <f t="shared" ca="1" si="367"/>
        <v>0</v>
      </c>
      <c r="R800" s="306">
        <f t="shared" ca="1" si="368"/>
        <v>0</v>
      </c>
      <c r="S800" s="307">
        <f t="shared" ca="1" si="369"/>
        <v>5.6519999999999806</v>
      </c>
      <c r="T800" s="304">
        <f t="shared" ca="1" si="349"/>
        <v>55.446119999999816</v>
      </c>
      <c r="U800" s="311">
        <f t="shared" ca="1" si="350"/>
        <v>0</v>
      </c>
      <c r="V800" s="306">
        <f t="shared" ca="1" si="351"/>
        <v>0.98895205876634285</v>
      </c>
      <c r="W800" s="304">
        <f t="shared" ca="1" si="352"/>
        <v>35.650561989924</v>
      </c>
      <c r="Y800" s="314" t="str">
        <f t="shared" ca="1" si="370"/>
        <v/>
      </c>
      <c r="Z800" s="315" t="str">
        <f t="shared" ca="1" si="371"/>
        <v/>
      </c>
      <c r="AA800" s="316" t="str">
        <f t="shared" ca="1" si="372"/>
        <v/>
      </c>
      <c r="AC800" s="310" t="e">
        <f t="shared" ca="1" si="373"/>
        <v>#N/A</v>
      </c>
      <c r="AD800" s="323" t="e">
        <f t="shared" ca="1" si="374"/>
        <v>#N/A</v>
      </c>
      <c r="AE800" s="324" t="e">
        <f t="shared" ca="1" si="353"/>
        <v>#N/A</v>
      </c>
      <c r="AG800" s="306">
        <f t="shared" ca="1" si="375"/>
        <v>3.4845397117755468</v>
      </c>
      <c r="AH800" s="304">
        <f t="shared" ca="1" si="376"/>
        <v>-6.2685451181442087</v>
      </c>
    </row>
    <row r="801" spans="1:34" x14ac:dyDescent="0.2">
      <c r="A801" s="347">
        <f t="shared" ca="1" si="354"/>
        <v>0.1</v>
      </c>
      <c r="B801" s="304">
        <f t="shared" ca="1" si="355"/>
        <v>47.700000000000337</v>
      </c>
      <c r="D801" s="306">
        <f t="shared" ca="1" si="356"/>
        <v>-0.67398138126865448</v>
      </c>
      <c r="E801" s="307">
        <f t="shared" ca="1" si="357"/>
        <v>-3.5385103832711016</v>
      </c>
      <c r="F801" s="304">
        <f t="shared" ca="1" si="358"/>
        <v>3.6021252941581863</v>
      </c>
      <c r="G801" s="306">
        <f t="shared" ca="1" si="359"/>
        <v>15.700442097015415</v>
      </c>
      <c r="H801" s="307">
        <f t="shared" ca="1" si="360"/>
        <v>-147.07577698648254</v>
      </c>
      <c r="I801" s="304">
        <f t="shared" ca="1" si="361"/>
        <v>147.91141963425028</v>
      </c>
      <c r="J801" s="306">
        <f t="shared" ca="1" si="362"/>
        <v>1264.1244969073584</v>
      </c>
      <c r="K801" s="307">
        <f t="shared" ca="1" si="363"/>
        <v>2117.6773474589081</v>
      </c>
      <c r="L801" s="304">
        <f t="shared" ca="1" si="348"/>
        <v>2466.2862955508385</v>
      </c>
      <c r="M801" s="306">
        <f t="shared" ca="1" si="364"/>
        <v>-1.4644483769952534</v>
      </c>
      <c r="N801" s="304">
        <f t="shared" ca="1" si="365"/>
        <v>-83.906711316611293</v>
      </c>
      <c r="P801" s="310">
        <f t="shared" ca="1" si="366"/>
        <v>23</v>
      </c>
      <c r="Q801" s="304">
        <f t="shared" ca="1" si="367"/>
        <v>0</v>
      </c>
      <c r="R801" s="306">
        <f t="shared" ca="1" si="368"/>
        <v>0</v>
      </c>
      <c r="S801" s="307">
        <f t="shared" ca="1" si="369"/>
        <v>5.6519999999999806</v>
      </c>
      <c r="T801" s="304">
        <f t="shared" ca="1" si="349"/>
        <v>55.446119999999816</v>
      </c>
      <c r="U801" s="311">
        <f t="shared" ca="1" si="350"/>
        <v>0</v>
      </c>
      <c r="V801" s="306">
        <f t="shared" ca="1" si="351"/>
        <v>0.9904224980422548</v>
      </c>
      <c r="W801" s="304">
        <f t="shared" ca="1" si="352"/>
        <v>35.870544716600421</v>
      </c>
      <c r="Y801" s="314" t="str">
        <f t="shared" ca="1" si="370"/>
        <v/>
      </c>
      <c r="Z801" s="315" t="str">
        <f t="shared" ca="1" si="371"/>
        <v/>
      </c>
      <c r="AA801" s="316" t="str">
        <f t="shared" ca="1" si="372"/>
        <v/>
      </c>
      <c r="AC801" s="310" t="e">
        <f t="shared" ca="1" si="373"/>
        <v>#N/A</v>
      </c>
      <c r="AD801" s="323" t="e">
        <f t="shared" ca="1" si="374"/>
        <v>#N/A</v>
      </c>
      <c r="AE801" s="324" t="e">
        <f t="shared" ca="1" si="353"/>
        <v>#N/A</v>
      </c>
      <c r="AG801" s="306">
        <f t="shared" ca="1" si="375"/>
        <v>3.446235665705621</v>
      </c>
      <c r="AH801" s="304">
        <f t="shared" ca="1" si="376"/>
        <v>-6.3076012013312317</v>
      </c>
    </row>
    <row r="802" spans="1:34" x14ac:dyDescent="0.2">
      <c r="A802" s="347">
        <f t="shared" ca="1" si="354"/>
        <v>0.1</v>
      </c>
      <c r="B802" s="304">
        <f t="shared" ca="1" si="355"/>
        <v>47.800000000000338</v>
      </c>
      <c r="D802" s="306">
        <f t="shared" ca="1" si="356"/>
        <v>-0.67366811849667263</v>
      </c>
      <c r="E802" s="307">
        <f t="shared" ca="1" si="357"/>
        <v>-3.4993329916006282</v>
      </c>
      <c r="F802" s="304">
        <f t="shared" ca="1" si="358"/>
        <v>3.5635880962849016</v>
      </c>
      <c r="G802" s="306">
        <f t="shared" ca="1" si="359"/>
        <v>15.633075285165749</v>
      </c>
      <c r="H802" s="307">
        <f t="shared" ca="1" si="360"/>
        <v>-147.42571028564259</v>
      </c>
      <c r="I802" s="304">
        <f t="shared" ca="1" si="361"/>
        <v>148.25226168965477</v>
      </c>
      <c r="J802" s="306">
        <f t="shared" ca="1" si="362"/>
        <v>1265.6911727764675</v>
      </c>
      <c r="K802" s="307">
        <f t="shared" ca="1" si="363"/>
        <v>2102.9522730953017</v>
      </c>
      <c r="L802" s="304">
        <f t="shared" ca="1" si="348"/>
        <v>2454.4617348333149</v>
      </c>
      <c r="M802" s="306">
        <f t="shared" ca="1" si="364"/>
        <v>-1.465150766302826</v>
      </c>
      <c r="N802" s="304">
        <f t="shared" ca="1" si="365"/>
        <v>-83.946955259510332</v>
      </c>
      <c r="P802" s="310">
        <f t="shared" ca="1" si="366"/>
        <v>23</v>
      </c>
      <c r="Q802" s="304">
        <f t="shared" ca="1" si="367"/>
        <v>0</v>
      </c>
      <c r="R802" s="306">
        <f t="shared" ca="1" si="368"/>
        <v>0</v>
      </c>
      <c r="S802" s="307">
        <f t="shared" ca="1" si="369"/>
        <v>5.6519999999999806</v>
      </c>
      <c r="T802" s="304">
        <f t="shared" ca="1" si="349"/>
        <v>55.446119999999816</v>
      </c>
      <c r="U802" s="311">
        <f t="shared" ca="1" si="350"/>
        <v>0</v>
      </c>
      <c r="V802" s="306">
        <f t="shared" ca="1" si="351"/>
        <v>0.99189842128668859</v>
      </c>
      <c r="W802" s="304">
        <f t="shared" ca="1" si="352"/>
        <v>36.089753691890941</v>
      </c>
      <c r="Y802" s="314" t="str">
        <f t="shared" ca="1" si="370"/>
        <v/>
      </c>
      <c r="Z802" s="315" t="str">
        <f t="shared" ca="1" si="371"/>
        <v/>
      </c>
      <c r="AA802" s="316" t="str">
        <f t="shared" ca="1" si="372"/>
        <v/>
      </c>
      <c r="AC802" s="310" t="e">
        <f t="shared" ca="1" si="373"/>
        <v>#N/A</v>
      </c>
      <c r="AD802" s="323" t="e">
        <f t="shared" ca="1" si="374"/>
        <v>#N/A</v>
      </c>
      <c r="AE802" s="324" t="e">
        <f t="shared" ca="1" si="353"/>
        <v>#N/A</v>
      </c>
      <c r="AG802" s="306">
        <f t="shared" ca="1" si="375"/>
        <v>3.4080548522455363</v>
      </c>
      <c r="AH802" s="304">
        <f t="shared" ca="1" si="376"/>
        <v>-6.3465224197807046</v>
      </c>
    </row>
    <row r="803" spans="1:34" x14ac:dyDescent="0.2">
      <c r="A803" s="347">
        <f t="shared" ca="1" si="354"/>
        <v>0.1</v>
      </c>
      <c r="B803" s="304">
        <f t="shared" ca="1" si="355"/>
        <v>47.90000000000034</v>
      </c>
      <c r="D803" s="306">
        <f t="shared" ca="1" si="356"/>
        <v>-0.67332518128525165</v>
      </c>
      <c r="E803" s="307">
        <f t="shared" ca="1" si="357"/>
        <v>-3.4602932856479951</v>
      </c>
      <c r="F803" s="304">
        <f t="shared" ca="1" si="358"/>
        <v>3.5251945226403345</v>
      </c>
      <c r="G803" s="306">
        <f t="shared" ca="1" si="359"/>
        <v>15.565742767037223</v>
      </c>
      <c r="H803" s="307">
        <f t="shared" ca="1" si="360"/>
        <v>-147.77173961420741</v>
      </c>
      <c r="I803" s="304">
        <f t="shared" ca="1" si="361"/>
        <v>148.58929765127328</v>
      </c>
      <c r="J803" s="306">
        <f t="shared" ca="1" si="362"/>
        <v>1267.2511136790777</v>
      </c>
      <c r="K803" s="307">
        <f t="shared" ca="1" si="363"/>
        <v>2088.1924006003092</v>
      </c>
      <c r="L803" s="304">
        <f t="shared" ca="1" si="348"/>
        <v>2442.6364623180716</v>
      </c>
      <c r="M803" s="306">
        <f t="shared" ca="1" si="364"/>
        <v>-1.4658469512108625</v>
      </c>
      <c r="N803" s="304">
        <f t="shared" ca="1" si="365"/>
        <v>-83.986843716501525</v>
      </c>
      <c r="P803" s="310">
        <f t="shared" ca="1" si="366"/>
        <v>23</v>
      </c>
      <c r="Q803" s="304">
        <f t="shared" ca="1" si="367"/>
        <v>0</v>
      </c>
      <c r="R803" s="306">
        <f t="shared" ca="1" si="368"/>
        <v>0</v>
      </c>
      <c r="S803" s="307">
        <f t="shared" ca="1" si="369"/>
        <v>5.6519999999999806</v>
      </c>
      <c r="T803" s="304">
        <f t="shared" ca="1" si="349"/>
        <v>55.446119999999816</v>
      </c>
      <c r="U803" s="311">
        <f t="shared" ca="1" si="350"/>
        <v>0</v>
      </c>
      <c r="V803" s="306">
        <f t="shared" ca="1" si="351"/>
        <v>0.99337980724345221</v>
      </c>
      <c r="W803" s="304">
        <f t="shared" ca="1" si="352"/>
        <v>36.308177626046088</v>
      </c>
      <c r="Y803" s="314" t="str">
        <f t="shared" ca="1" si="370"/>
        <v/>
      </c>
      <c r="Z803" s="315" t="str">
        <f t="shared" ca="1" si="371"/>
        <v/>
      </c>
      <c r="AA803" s="316" t="str">
        <f t="shared" ca="1" si="372"/>
        <v/>
      </c>
      <c r="AC803" s="310" t="e">
        <f t="shared" ca="1" si="373"/>
        <v>#N/A</v>
      </c>
      <c r="AD803" s="323" t="e">
        <f t="shared" ca="1" si="374"/>
        <v>#N/A</v>
      </c>
      <c r="AE803" s="324" t="e">
        <f t="shared" ca="1" si="353"/>
        <v>#N/A</v>
      </c>
      <c r="AG803" s="306">
        <f t="shared" ca="1" si="375"/>
        <v>3.369999529779375</v>
      </c>
      <c r="AH803" s="304">
        <f t="shared" ca="1" si="376"/>
        <v>-6.3853067395419432</v>
      </c>
    </row>
    <row r="804" spans="1:34" x14ac:dyDescent="0.2">
      <c r="A804" s="347">
        <f t="shared" ca="1" si="354"/>
        <v>0.1</v>
      </c>
      <c r="B804" s="304">
        <f t="shared" ca="1" si="355"/>
        <v>48.000000000000341</v>
      </c>
      <c r="D804" s="306">
        <f t="shared" ca="1" si="356"/>
        <v>-0.67295282028863335</v>
      </c>
      <c r="E804" s="307">
        <f t="shared" ca="1" si="357"/>
        <v>-3.421393274278909</v>
      </c>
      <c r="F804" s="304">
        <f t="shared" ca="1" si="358"/>
        <v>3.486946721074955</v>
      </c>
      <c r="G804" s="306">
        <f t="shared" ca="1" si="359"/>
        <v>15.498447485008359</v>
      </c>
      <c r="H804" s="307">
        <f t="shared" ca="1" si="360"/>
        <v>-148.11387894163531</v>
      </c>
      <c r="I804" s="304">
        <f t="shared" ca="1" si="361"/>
        <v>148.92254030059709</v>
      </c>
      <c r="J804" s="306">
        <f t="shared" ca="1" si="362"/>
        <v>1268.8043231916799</v>
      </c>
      <c r="K804" s="307">
        <f t="shared" ca="1" si="363"/>
        <v>2073.3981196725172</v>
      </c>
      <c r="L804" s="304">
        <f t="shared" ca="1" si="348"/>
        <v>2430.8114227992733</v>
      </c>
      <c r="M804" s="306">
        <f t="shared" ca="1" si="364"/>
        <v>-1.466537017680313</v>
      </c>
      <c r="N804" s="304">
        <f t="shared" ca="1" si="365"/>
        <v>-84.026381612784519</v>
      </c>
      <c r="P804" s="310">
        <f t="shared" ca="1" si="366"/>
        <v>23</v>
      </c>
      <c r="Q804" s="304">
        <f t="shared" ca="1" si="367"/>
        <v>0</v>
      </c>
      <c r="R804" s="306">
        <f t="shared" ca="1" si="368"/>
        <v>0</v>
      </c>
      <c r="S804" s="307">
        <f t="shared" ca="1" si="369"/>
        <v>5.6519999999999806</v>
      </c>
      <c r="T804" s="304">
        <f t="shared" ca="1" si="349"/>
        <v>55.446119999999816</v>
      </c>
      <c r="U804" s="311">
        <f t="shared" ca="1" si="350"/>
        <v>0</v>
      </c>
      <c r="V804" s="306">
        <f t="shared" ca="1" si="351"/>
        <v>0.99486663468592251</v>
      </c>
      <c r="W804" s="304">
        <f t="shared" ca="1" si="352"/>
        <v>36.525805435413666</v>
      </c>
      <c r="Y804" s="314" t="str">
        <f t="shared" ca="1" si="370"/>
        <v/>
      </c>
      <c r="Z804" s="315" t="str">
        <f t="shared" ca="1" si="371"/>
        <v/>
      </c>
      <c r="AA804" s="316" t="str">
        <f t="shared" ca="1" si="372"/>
        <v/>
      </c>
      <c r="AC804" s="310">
        <f t="shared" ca="1" si="373"/>
        <v>48.000000000000341</v>
      </c>
      <c r="AD804" s="323">
        <f t="shared" ca="1" si="374"/>
        <v>1268.8043231916799</v>
      </c>
      <c r="AE804" s="324" t="e">
        <f t="shared" ca="1" si="353"/>
        <v>#N/A</v>
      </c>
      <c r="AG804" s="306">
        <f t="shared" ca="1" si="375"/>
        <v>3.3320719148397959</v>
      </c>
      <c r="AH804" s="304">
        <f t="shared" ca="1" si="376"/>
        <v>-6.4239521631362724</v>
      </c>
    </row>
    <row r="805" spans="1:34" x14ac:dyDescent="0.2">
      <c r="A805" s="347">
        <f t="shared" ca="1" si="354"/>
        <v>0.1</v>
      </c>
      <c r="B805" s="304">
        <f t="shared" ca="1" si="355"/>
        <v>48.100000000000342</v>
      </c>
      <c r="D805" s="306">
        <f t="shared" ca="1" si="356"/>
        <v>-0.67255128770228367</v>
      </c>
      <c r="E805" s="307">
        <f t="shared" ca="1" si="357"/>
        <v>-3.3826349297157821</v>
      </c>
      <c r="F805" s="304">
        <f t="shared" ca="1" si="358"/>
        <v>3.4488468076044336</v>
      </c>
      <c r="G805" s="306">
        <f t="shared" ca="1" si="359"/>
        <v>15.431192356238132</v>
      </c>
      <c r="H805" s="307">
        <f t="shared" ca="1" si="360"/>
        <v>-148.45214243460688</v>
      </c>
      <c r="I805" s="304">
        <f t="shared" ca="1" si="361"/>
        <v>149.25200263634667</v>
      </c>
      <c r="J805" s="306">
        <f t="shared" ca="1" si="362"/>
        <v>1270.3508051837423</v>
      </c>
      <c r="K805" s="307">
        <f t="shared" ca="1" si="363"/>
        <v>2058.5698186037052</v>
      </c>
      <c r="L805" s="304">
        <f t="shared" ca="1" si="348"/>
        <v>2418.9875705131421</v>
      </c>
      <c r="M805" s="306">
        <f t="shared" ca="1" si="364"/>
        <v>-1.4672210500194776</v>
      </c>
      <c r="N805" s="304">
        <f t="shared" ca="1" si="365"/>
        <v>-84.065573778869123</v>
      </c>
      <c r="P805" s="310">
        <f t="shared" ca="1" si="366"/>
        <v>23</v>
      </c>
      <c r="Q805" s="304">
        <f t="shared" ca="1" si="367"/>
        <v>0</v>
      </c>
      <c r="R805" s="306">
        <f t="shared" ca="1" si="368"/>
        <v>0</v>
      </c>
      <c r="S805" s="307">
        <f t="shared" ca="1" si="369"/>
        <v>5.6519999999999806</v>
      </c>
      <c r="T805" s="304">
        <f t="shared" ca="1" si="349"/>
        <v>55.446119999999816</v>
      </c>
      <c r="U805" s="311">
        <f t="shared" ca="1" si="350"/>
        <v>0</v>
      </c>
      <c r="V805" s="306">
        <f t="shared" ca="1" si="351"/>
        <v>0.9963588824183196</v>
      </c>
      <c r="W805" s="304">
        <f t="shared" ca="1" si="352"/>
        <v>36.742626242347391</v>
      </c>
      <c r="Y805" s="314" t="str">
        <f t="shared" ca="1" si="370"/>
        <v/>
      </c>
      <c r="Z805" s="315" t="str">
        <f t="shared" ca="1" si="371"/>
        <v/>
      </c>
      <c r="AA805" s="316" t="str">
        <f t="shared" ca="1" si="372"/>
        <v/>
      </c>
      <c r="AC805" s="310" t="e">
        <f t="shared" ca="1" si="373"/>
        <v>#N/A</v>
      </c>
      <c r="AD805" s="323" t="e">
        <f t="shared" ca="1" si="374"/>
        <v>#N/A</v>
      </c>
      <c r="AE805" s="324" t="e">
        <f t="shared" ca="1" si="353"/>
        <v>#N/A</v>
      </c>
      <c r="AG805" s="306">
        <f t="shared" ca="1" si="375"/>
        <v>3.2942741822694721</v>
      </c>
      <c r="AH805" s="304">
        <f t="shared" ca="1" si="376"/>
        <v>-6.462456729549503</v>
      </c>
    </row>
    <row r="806" spans="1:34" x14ac:dyDescent="0.2">
      <c r="A806" s="347">
        <f t="shared" ca="1" si="354"/>
        <v>0.1</v>
      </c>
      <c r="B806" s="304">
        <f t="shared" ca="1" si="355"/>
        <v>48.200000000000344</v>
      </c>
      <c r="D806" s="306">
        <f t="shared" ca="1" si="356"/>
        <v>-0.67212083720093574</v>
      </c>
      <c r="E806" s="307">
        <f t="shared" ca="1" si="357"/>
        <v>-3.3440201875531033</v>
      </c>
      <c r="F806" s="304">
        <f t="shared" ca="1" si="358"/>
        <v>3.410896866597168</v>
      </c>
      <c r="G806" s="306">
        <f t="shared" ca="1" si="359"/>
        <v>15.363980272518038</v>
      </c>
      <c r="H806" s="307">
        <f t="shared" ca="1" si="360"/>
        <v>-148.78654445336218</v>
      </c>
      <c r="I806" s="304">
        <f t="shared" ca="1" si="361"/>
        <v>149.5776978703264</v>
      </c>
      <c r="J806" s="306">
        <f t="shared" ca="1" si="362"/>
        <v>1271.89056381518</v>
      </c>
      <c r="K806" s="307">
        <f t="shared" ca="1" si="363"/>
        <v>2043.7078842593069</v>
      </c>
      <c r="L806" s="304">
        <f t="shared" ca="1" si="348"/>
        <v>2407.1658693379959</v>
      </c>
      <c r="M806" s="306">
        <f t="shared" ca="1" si="364"/>
        <v>-1.4678991309230069</v>
      </c>
      <c r="N806" s="304">
        <f t="shared" ca="1" si="365"/>
        <v>-84.104424952809765</v>
      </c>
      <c r="P806" s="310">
        <f t="shared" ca="1" si="366"/>
        <v>23</v>
      </c>
      <c r="Q806" s="304">
        <f t="shared" ca="1" si="367"/>
        <v>0</v>
      </c>
      <c r="R806" s="306">
        <f t="shared" ca="1" si="368"/>
        <v>0</v>
      </c>
      <c r="S806" s="307">
        <f t="shared" ca="1" si="369"/>
        <v>5.6519999999999806</v>
      </c>
      <c r="T806" s="304">
        <f t="shared" ca="1" si="349"/>
        <v>55.446119999999816</v>
      </c>
      <c r="U806" s="311">
        <f t="shared" ca="1" si="350"/>
        <v>0</v>
      </c>
      <c r="V806" s="306">
        <f t="shared" ca="1" si="351"/>
        <v>0.997856529276969</v>
      </c>
      <c r="W806" s="304">
        <f t="shared" ca="1" si="352"/>
        <v>36.958629375066643</v>
      </c>
      <c r="Y806" s="314" t="str">
        <f t="shared" ca="1" si="370"/>
        <v/>
      </c>
      <c r="Z806" s="315" t="str">
        <f t="shared" ca="1" si="371"/>
        <v/>
      </c>
      <c r="AA806" s="316" t="str">
        <f t="shared" ca="1" si="372"/>
        <v/>
      </c>
      <c r="AC806" s="310" t="e">
        <f t="shared" ca="1" si="373"/>
        <v>#N/A</v>
      </c>
      <c r="AD806" s="323" t="e">
        <f t="shared" ca="1" si="374"/>
        <v>#N/A</v>
      </c>
      <c r="AE806" s="324" t="e">
        <f t="shared" ca="1" si="353"/>
        <v>#N/A</v>
      </c>
      <c r="AG806" s="306">
        <f t="shared" ca="1" si="375"/>
        <v>3.256608465386071</v>
      </c>
      <c r="AH806" s="304">
        <f t="shared" ca="1" si="376"/>
        <v>-6.5008185142157675</v>
      </c>
    </row>
    <row r="807" spans="1:34" x14ac:dyDescent="0.2">
      <c r="A807" s="347">
        <f t="shared" ca="1" si="354"/>
        <v>0.1</v>
      </c>
      <c r="B807" s="304">
        <f t="shared" ca="1" si="355"/>
        <v>48.300000000000345</v>
      </c>
      <c r="D807" s="306">
        <f t="shared" ca="1" si="356"/>
        <v>-0.67166172387699974</v>
      </c>
      <c r="E807" s="307">
        <f t="shared" ca="1" si="357"/>
        <v>-3.3055509467815343</v>
      </c>
      <c r="F807" s="304">
        <f t="shared" ca="1" si="358"/>
        <v>3.373098950978124</v>
      </c>
      <c r="G807" s="306">
        <f t="shared" ca="1" si="359"/>
        <v>15.296814100130337</v>
      </c>
      <c r="H807" s="307">
        <f t="shared" ca="1" si="360"/>
        <v>-149.11709954804033</v>
      </c>
      <c r="I807" s="304">
        <f t="shared" ca="1" si="361"/>
        <v>149.89963942329587</v>
      </c>
      <c r="J807" s="306">
        <f t="shared" ca="1" si="362"/>
        <v>1273.4236035338124</v>
      </c>
      <c r="K807" s="307">
        <f t="shared" ca="1" si="363"/>
        <v>2028.8127020592367</v>
      </c>
      <c r="L807" s="304">
        <f t="shared" ca="1" si="348"/>
        <v>2395.3472929982286</v>
      </c>
      <c r="M807" s="306">
        <f t="shared" ca="1" si="364"/>
        <v>-1.4685713415098141</v>
      </c>
      <c r="N807" s="304">
        <f t="shared" ca="1" si="365"/>
        <v>-84.142939782377823</v>
      </c>
      <c r="P807" s="310">
        <f t="shared" ca="1" si="366"/>
        <v>23</v>
      </c>
      <c r="Q807" s="304">
        <f t="shared" ca="1" si="367"/>
        <v>0</v>
      </c>
      <c r="R807" s="306">
        <f t="shared" ca="1" si="368"/>
        <v>0</v>
      </c>
      <c r="S807" s="307">
        <f t="shared" ca="1" si="369"/>
        <v>5.6519999999999806</v>
      </c>
      <c r="T807" s="304">
        <f t="shared" ca="1" si="349"/>
        <v>55.446119999999816</v>
      </c>
      <c r="U807" s="311">
        <f t="shared" ca="1" si="350"/>
        <v>0</v>
      </c>
      <c r="V807" s="306">
        <f t="shared" ca="1" si="351"/>
        <v>0.99935955413155431</v>
      </c>
      <c r="W807" s="304">
        <f t="shared" ca="1" si="352"/>
        <v>37.173804367468051</v>
      </c>
      <c r="Y807" s="314" t="str">
        <f t="shared" ca="1" si="370"/>
        <v/>
      </c>
      <c r="Z807" s="315" t="str">
        <f t="shared" ca="1" si="371"/>
        <v/>
      </c>
      <c r="AA807" s="316" t="str">
        <f t="shared" ca="1" si="372"/>
        <v/>
      </c>
      <c r="AC807" s="310" t="e">
        <f t="shared" ca="1" si="373"/>
        <v>#N/A</v>
      </c>
      <c r="AD807" s="323" t="e">
        <f t="shared" ca="1" si="374"/>
        <v>#N/A</v>
      </c>
      <c r="AE807" s="324" t="e">
        <f t="shared" ca="1" si="353"/>
        <v>#N/A</v>
      </c>
      <c r="AG807" s="306">
        <f t="shared" ca="1" si="375"/>
        <v>3.2190768561509877</v>
      </c>
      <c r="AH807" s="304">
        <f t="shared" ca="1" si="376"/>
        <v>-6.5390356289927052</v>
      </c>
    </row>
    <row r="808" spans="1:34" x14ac:dyDescent="0.2">
      <c r="A808" s="347">
        <f t="shared" ca="1" si="354"/>
        <v>0.1</v>
      </c>
      <c r="B808" s="304">
        <f t="shared" ca="1" si="355"/>
        <v>48.400000000000347</v>
      </c>
      <c r="D808" s="306">
        <f t="shared" ca="1" si="356"/>
        <v>-0.67117420417936668</v>
      </c>
      <c r="E808" s="307">
        <f t="shared" ca="1" si="357"/>
        <v>-3.2672290698205915</v>
      </c>
      <c r="F808" s="304">
        <f t="shared" ca="1" si="358"/>
        <v>3.3354550824492497</v>
      </c>
      <c r="G808" s="306">
        <f t="shared" ca="1" si="359"/>
        <v>15.229696679712401</v>
      </c>
      <c r="H808" s="307">
        <f t="shared" ca="1" si="360"/>
        <v>-149.4438224550224</v>
      </c>
      <c r="I808" s="304">
        <f t="shared" ca="1" si="361"/>
        <v>150.21784092085835</v>
      </c>
      <c r="J808" s="306">
        <f t="shared" ca="1" si="362"/>
        <v>1274.9499290728045</v>
      </c>
      <c r="K808" s="307">
        <f t="shared" ca="1" si="363"/>
        <v>2013.8846559590836</v>
      </c>
      <c r="L808" s="304">
        <f t="shared" ca="1" si="348"/>
        <v>2383.5328252722229</v>
      </c>
      <c r="M808" s="306">
        <f t="shared" ca="1" si="364"/>
        <v>-1.4692377613599328</v>
      </c>
      <c r="N808" s="304">
        <f t="shared" ca="1" si="365"/>
        <v>-84.181122827173368</v>
      </c>
      <c r="P808" s="310">
        <f t="shared" ca="1" si="366"/>
        <v>23</v>
      </c>
      <c r="Q808" s="304">
        <f t="shared" ca="1" si="367"/>
        <v>0</v>
      </c>
      <c r="R808" s="306">
        <f t="shared" ca="1" si="368"/>
        <v>0</v>
      </c>
      <c r="S808" s="307">
        <f t="shared" ca="1" si="369"/>
        <v>5.6519999999999806</v>
      </c>
      <c r="T808" s="304">
        <f t="shared" ca="1" si="349"/>
        <v>55.446119999999816</v>
      </c>
      <c r="U808" s="311">
        <f t="shared" ca="1" si="350"/>
        <v>0</v>
      </c>
      <c r="V808" s="306">
        <f t="shared" ca="1" si="351"/>
        <v>1.0008679358863577</v>
      </c>
      <c r="W808" s="304">
        <f t="shared" ca="1" si="352"/>
        <v>37.38814095888975</v>
      </c>
      <c r="Y808" s="314" t="str">
        <f t="shared" ca="1" si="370"/>
        <v/>
      </c>
      <c r="Z808" s="315" t="str">
        <f t="shared" ca="1" si="371"/>
        <v/>
      </c>
      <c r="AA808" s="316" t="str">
        <f t="shared" ca="1" si="372"/>
        <v/>
      </c>
      <c r="AC808" s="310" t="e">
        <f t="shared" ca="1" si="373"/>
        <v>#N/A</v>
      </c>
      <c r="AD808" s="323" t="e">
        <f t="shared" ca="1" si="374"/>
        <v>#N/A</v>
      </c>
      <c r="AE808" s="324" t="e">
        <f t="shared" ca="1" si="353"/>
        <v>#N/A</v>
      </c>
      <c r="AG808" s="306">
        <f t="shared" ca="1" si="375"/>
        <v>3.1816814053418838</v>
      </c>
      <c r="AH808" s="304">
        <f t="shared" ca="1" si="376"/>
        <v>-6.577106222128128</v>
      </c>
    </row>
    <row r="809" spans="1:34" x14ac:dyDescent="0.2">
      <c r="A809" s="347">
        <f t="shared" ca="1" si="354"/>
        <v>0.1</v>
      </c>
      <c r="B809" s="304">
        <f t="shared" ca="1" si="355"/>
        <v>48.500000000000348</v>
      </c>
      <c r="D809" s="306">
        <f t="shared" ca="1" si="356"/>
        <v>-0.67065853585261825</v>
      </c>
      <c r="E809" s="307">
        <f t="shared" ca="1" si="357"/>
        <v>-3.2290563825597749</v>
      </c>
      <c r="F809" s="304">
        <f t="shared" ca="1" si="358"/>
        <v>3.2979672517267358</v>
      </c>
      <c r="G809" s="306">
        <f t="shared" ca="1" si="359"/>
        <v>15.162630826127138</v>
      </c>
      <c r="H809" s="307">
        <f t="shared" ca="1" si="360"/>
        <v>-149.76672809327837</v>
      </c>
      <c r="I809" s="304">
        <f t="shared" ca="1" si="361"/>
        <v>150.53231618936647</v>
      </c>
      <c r="J809" s="306">
        <f t="shared" ca="1" si="362"/>
        <v>1276.4695454480964</v>
      </c>
      <c r="K809" s="307">
        <f t="shared" ca="1" si="363"/>
        <v>1998.9241284316686</v>
      </c>
      <c r="L809" s="304">
        <f t="shared" ca="1" si="348"/>
        <v>2371.7234602041563</v>
      </c>
      <c r="M809" s="306">
        <f t="shared" ca="1" si="364"/>
        <v>-1.469898468550356</v>
      </c>
      <c r="N809" s="304">
        <f t="shared" ca="1" si="365"/>
        <v>-84.218978560678565</v>
      </c>
      <c r="P809" s="310">
        <f t="shared" ca="1" si="366"/>
        <v>23</v>
      </c>
      <c r="Q809" s="304">
        <f t="shared" ca="1" si="367"/>
        <v>0</v>
      </c>
      <c r="R809" s="306">
        <f t="shared" ca="1" si="368"/>
        <v>0</v>
      </c>
      <c r="S809" s="307">
        <f t="shared" ca="1" si="369"/>
        <v>5.6519999999999806</v>
      </c>
      <c r="T809" s="304">
        <f t="shared" ca="1" si="349"/>
        <v>55.446119999999816</v>
      </c>
      <c r="U809" s="311">
        <f t="shared" ca="1" si="350"/>
        <v>0</v>
      </c>
      <c r="V809" s="306">
        <f t="shared" ca="1" si="351"/>
        <v>1.0023816534814913</v>
      </c>
      <c r="W809" s="304">
        <f t="shared" ca="1" si="352"/>
        <v>37.601629093828528</v>
      </c>
      <c r="Y809" s="314" t="str">
        <f t="shared" ca="1" si="370"/>
        <v/>
      </c>
      <c r="Z809" s="315" t="str">
        <f t="shared" ca="1" si="371"/>
        <v/>
      </c>
      <c r="AA809" s="316" t="str">
        <f t="shared" ca="1" si="372"/>
        <v/>
      </c>
      <c r="AC809" s="310" t="e">
        <f t="shared" ca="1" si="373"/>
        <v>#N/A</v>
      </c>
      <c r="AD809" s="323" t="e">
        <f t="shared" ca="1" si="374"/>
        <v>#N/A</v>
      </c>
      <c r="AE809" s="324" t="e">
        <f t="shared" ca="1" si="353"/>
        <v>#N/A</v>
      </c>
      <c r="AG809" s="306">
        <f t="shared" ca="1" si="375"/>
        <v>3.1444241227290668</v>
      </c>
      <c r="AH809" s="304">
        <f t="shared" ca="1" si="376"/>
        <v>-6.6150284782183082</v>
      </c>
    </row>
    <row r="810" spans="1:34" x14ac:dyDescent="0.2">
      <c r="A810" s="347">
        <f t="shared" ca="1" si="354"/>
        <v>0.1</v>
      </c>
      <c r="B810" s="304">
        <f t="shared" ca="1" si="355"/>
        <v>48.60000000000035</v>
      </c>
      <c r="D810" s="306">
        <f t="shared" ca="1" si="356"/>
        <v>-0.67011497787665641</v>
      </c>
      <c r="E810" s="307">
        <f t="shared" ca="1" si="357"/>
        <v>-3.1910346744080931</v>
      </c>
      <c r="F810" s="304">
        <f t="shared" ca="1" si="358"/>
        <v>3.2606374187955027</v>
      </c>
      <c r="G810" s="306">
        <f t="shared" ca="1" si="359"/>
        <v>15.095619328339472</v>
      </c>
      <c r="H810" s="307">
        <f t="shared" ca="1" si="360"/>
        <v>-150.08583156071919</v>
      </c>
      <c r="I810" s="304">
        <f t="shared" ca="1" si="361"/>
        <v>150.84307925184606</v>
      </c>
      <c r="J810" s="306">
        <f t="shared" ca="1" si="362"/>
        <v>1277.9824579558197</v>
      </c>
      <c r="K810" s="307">
        <f t="shared" ca="1" si="363"/>
        <v>1983.9315004489688</v>
      </c>
      <c r="L810" s="304">
        <f t="shared" ca="1" si="348"/>
        <v>2359.9202023196663</v>
      </c>
      <c r="M810" s="306">
        <f t="shared" ca="1" si="364"/>
        <v>-1.4705535396898883</v>
      </c>
      <c r="N810" s="304">
        <f t="shared" ca="1" si="365"/>
        <v>-84.256511372254593</v>
      </c>
      <c r="P810" s="310">
        <f t="shared" ca="1" si="366"/>
        <v>23</v>
      </c>
      <c r="Q810" s="304">
        <f t="shared" ca="1" si="367"/>
        <v>0</v>
      </c>
      <c r="R810" s="306">
        <f t="shared" ca="1" si="368"/>
        <v>0</v>
      </c>
      <c r="S810" s="307">
        <f t="shared" ca="1" si="369"/>
        <v>5.6519999999999806</v>
      </c>
      <c r="T810" s="304">
        <f t="shared" ca="1" si="349"/>
        <v>55.446119999999816</v>
      </c>
      <c r="U810" s="311">
        <f t="shared" ca="1" si="350"/>
        <v>0</v>
      </c>
      <c r="V810" s="306">
        <f t="shared" ca="1" si="351"/>
        <v>1.0039006858941175</v>
      </c>
      <c r="W810" s="304">
        <f t="shared" ca="1" si="352"/>
        <v>37.814258921610985</v>
      </c>
      <c r="Y810" s="314" t="str">
        <f t="shared" ca="1" si="370"/>
        <v/>
      </c>
      <c r="Z810" s="315" t="str">
        <f t="shared" ca="1" si="371"/>
        <v/>
      </c>
      <c r="AA810" s="316" t="str">
        <f t="shared" ca="1" si="372"/>
        <v/>
      </c>
      <c r="AC810" s="310" t="e">
        <f t="shared" ca="1" si="373"/>
        <v>#N/A</v>
      </c>
      <c r="AD810" s="323" t="e">
        <f t="shared" ca="1" si="374"/>
        <v>#N/A</v>
      </c>
      <c r="AE810" s="324" t="e">
        <f t="shared" ca="1" si="353"/>
        <v>#N/A</v>
      </c>
      <c r="AG810" s="306">
        <f t="shared" ca="1" si="375"/>
        <v>3.1073069772558224</v>
      </c>
      <c r="AH810" s="304">
        <f t="shared" ca="1" si="376"/>
        <v>-6.6528006181579364</v>
      </c>
    </row>
    <row r="811" spans="1:34" x14ac:dyDescent="0.2">
      <c r="A811" s="347">
        <f t="shared" ca="1" si="354"/>
        <v>0.1</v>
      </c>
      <c r="B811" s="304">
        <f t="shared" ca="1" si="355"/>
        <v>48.700000000000351</v>
      </c>
      <c r="D811" s="306">
        <f t="shared" ca="1" si="356"/>
        <v>-0.66954379040675571</v>
      </c>
      <c r="E811" s="307">
        <f t="shared" ca="1" si="357"/>
        <v>-3.1531656983517964</v>
      </c>
      <c r="F811" s="304">
        <f t="shared" ca="1" si="358"/>
        <v>3.2234675131812041</v>
      </c>
      <c r="G811" s="306">
        <f t="shared" ca="1" si="359"/>
        <v>15.028664949298797</v>
      </c>
      <c r="H811" s="307">
        <f t="shared" ca="1" si="360"/>
        <v>-150.40114813055436</v>
      </c>
      <c r="I811" s="304">
        <f t="shared" ca="1" si="361"/>
        <v>151.15014432393784</v>
      </c>
      <c r="J811" s="306">
        <f t="shared" ca="1" si="362"/>
        <v>1279.4886721697017</v>
      </c>
      <c r="K811" s="307">
        <f t="shared" ca="1" si="363"/>
        <v>1968.9071514644052</v>
      </c>
      <c r="L811" s="304">
        <f t="shared" ca="1" si="348"/>
        <v>2348.1240668453329</v>
      </c>
      <c r="M811" s="306">
        <f t="shared" ca="1" si="364"/>
        <v>-1.4712030499530431</v>
      </c>
      <c r="N811" s="304">
        <f t="shared" ca="1" si="365"/>
        <v>-84.29372556908379</v>
      </c>
      <c r="P811" s="310">
        <f t="shared" ca="1" si="366"/>
        <v>23</v>
      </c>
      <c r="Q811" s="304">
        <f t="shared" ca="1" si="367"/>
        <v>0</v>
      </c>
      <c r="R811" s="306">
        <f t="shared" ca="1" si="368"/>
        <v>0</v>
      </c>
      <c r="S811" s="307">
        <f t="shared" ca="1" si="369"/>
        <v>5.6519999999999806</v>
      </c>
      <c r="T811" s="304">
        <f t="shared" ca="1" si="349"/>
        <v>55.446119999999816</v>
      </c>
      <c r="U811" s="311">
        <f t="shared" ca="1" si="350"/>
        <v>0</v>
      </c>
      <c r="V811" s="306">
        <f t="shared" ca="1" si="351"/>
        <v>1.0054250121396573</v>
      </c>
      <c r="W811" s="304">
        <f t="shared" ca="1" si="352"/>
        <v>38.026020796018742</v>
      </c>
      <c r="Y811" s="314" t="str">
        <f t="shared" ca="1" si="370"/>
        <v/>
      </c>
      <c r="Z811" s="315" t="str">
        <f t="shared" ca="1" si="371"/>
        <v/>
      </c>
      <c r="AA811" s="316" t="str">
        <f t="shared" ca="1" si="372"/>
        <v/>
      </c>
      <c r="AC811" s="310" t="e">
        <f t="shared" ca="1" si="373"/>
        <v>#N/A</v>
      </c>
      <c r="AD811" s="323" t="e">
        <f t="shared" ca="1" si="374"/>
        <v>#N/A</v>
      </c>
      <c r="AE811" s="324" t="e">
        <f t="shared" ca="1" si="353"/>
        <v>#N/A</v>
      </c>
      <c r="AG811" s="306">
        <f t="shared" ca="1" si="375"/>
        <v>3.0703318972226787</v>
      </c>
      <c r="AH811" s="304">
        <f t="shared" ca="1" si="376"/>
        <v>-6.6904208990819383</v>
      </c>
    </row>
    <row r="812" spans="1:34" x14ac:dyDescent="0.2">
      <c r="A812" s="347">
        <f t="shared" ca="1" si="354"/>
        <v>0.1</v>
      </c>
      <c r="B812" s="304">
        <f t="shared" ca="1" si="355"/>
        <v>48.800000000000352</v>
      </c>
      <c r="D812" s="306">
        <f t="shared" ca="1" si="356"/>
        <v>-0.6689452347140511</v>
      </c>
      <c r="E812" s="307">
        <f t="shared" ca="1" si="357"/>
        <v>-3.1154511710203021</v>
      </c>
      <c r="F812" s="304">
        <f t="shared" ca="1" si="358"/>
        <v>3.1864594342402053</v>
      </c>
      <c r="G812" s="306">
        <f t="shared" ca="1" si="359"/>
        <v>14.961770425827392</v>
      </c>
      <c r="H812" s="307">
        <f t="shared" ca="1" si="360"/>
        <v>-150.7126932476564</v>
      </c>
      <c r="I812" s="304">
        <f t="shared" ca="1" si="361"/>
        <v>151.45352580985806</v>
      </c>
      <c r="J812" s="306">
        <f t="shared" ca="1" si="362"/>
        <v>1280.9881939384579</v>
      </c>
      <c r="K812" s="307">
        <f t="shared" ca="1" si="363"/>
        <v>1953.8514593954947</v>
      </c>
      <c r="L812" s="304">
        <f t="shared" ca="1" si="348"/>
        <v>2336.3360799319125</v>
      </c>
      <c r="M812" s="306">
        <f t="shared" ca="1" si="364"/>
        <v>-1.4718470731130131</v>
      </c>
      <c r="N812" s="304">
        <f t="shared" ca="1" si="365"/>
        <v>-84.330625378058755</v>
      </c>
      <c r="P812" s="310">
        <f t="shared" ca="1" si="366"/>
        <v>23</v>
      </c>
      <c r="Q812" s="304">
        <f t="shared" ca="1" si="367"/>
        <v>0</v>
      </c>
      <c r="R812" s="306">
        <f t="shared" ca="1" si="368"/>
        <v>0</v>
      </c>
      <c r="S812" s="307">
        <f t="shared" ca="1" si="369"/>
        <v>5.6519999999999806</v>
      </c>
      <c r="T812" s="304">
        <f t="shared" ca="1" si="349"/>
        <v>55.446119999999816</v>
      </c>
      <c r="U812" s="311">
        <f t="shared" ca="1" si="350"/>
        <v>0</v>
      </c>
      <c r="V812" s="306">
        <f t="shared" ca="1" si="351"/>
        <v>1.0069546112729886</v>
      </c>
      <c r="W812" s="304">
        <f t="shared" ca="1" si="352"/>
        <v>38.236905274868889</v>
      </c>
      <c r="Y812" s="314" t="str">
        <f t="shared" ca="1" si="370"/>
        <v/>
      </c>
      <c r="Z812" s="315" t="str">
        <f t="shared" ca="1" si="371"/>
        <v/>
      </c>
      <c r="AA812" s="316" t="str">
        <f t="shared" ca="1" si="372"/>
        <v/>
      </c>
      <c r="AC812" s="310" t="e">
        <f t="shared" ca="1" si="373"/>
        <v>#N/A</v>
      </c>
      <c r="AD812" s="323" t="e">
        <f t="shared" ca="1" si="374"/>
        <v>#N/A</v>
      </c>
      <c r="AE812" s="324" t="e">
        <f t="shared" ca="1" si="353"/>
        <v>#N/A</v>
      </c>
      <c r="AG812" s="306">
        <f t="shared" ca="1" si="375"/>
        <v>3.0335007704757491</v>
      </c>
      <c r="AH812" s="304">
        <f t="shared" ca="1" si="376"/>
        <v>-6.7278876142991635</v>
      </c>
    </row>
    <row r="813" spans="1:34" x14ac:dyDescent="0.2">
      <c r="A813" s="347">
        <f t="shared" ca="1" si="354"/>
        <v>0.1</v>
      </c>
      <c r="B813" s="304">
        <f t="shared" ca="1" si="355"/>
        <v>48.900000000000354</v>
      </c>
      <c r="D813" s="306">
        <f t="shared" ca="1" si="356"/>
        <v>-0.66831957312648682</v>
      </c>
      <c r="E813" s="307">
        <f t="shared" ca="1" si="357"/>
        <v>-3.0778927727600927</v>
      </c>
      <c r="F813" s="304">
        <f t="shared" ca="1" si="358"/>
        <v>3.1496150514678427</v>
      </c>
      <c r="G813" s="306">
        <f t="shared" ca="1" si="359"/>
        <v>14.894938468514743</v>
      </c>
      <c r="H813" s="307">
        <f t="shared" ca="1" si="360"/>
        <v>-151.02048252493242</v>
      </c>
      <c r="I813" s="304">
        <f t="shared" ca="1" si="361"/>
        <v>151.75323829837785</v>
      </c>
      <c r="J813" s="306">
        <f t="shared" ca="1" si="362"/>
        <v>1282.4810293831749</v>
      </c>
      <c r="K813" s="307">
        <f t="shared" ca="1" si="363"/>
        <v>1938.7648006068653</v>
      </c>
      <c r="L813" s="304">
        <f t="shared" ca="1" si="348"/>
        <v>2324.5572788812724</v>
      </c>
      <c r="M813" s="306">
        <f t="shared" ca="1" si="364"/>
        <v>-1.472485681573747</v>
      </c>
      <c r="N813" s="304">
        <f t="shared" ca="1" si="365"/>
        <v>-84.367214947620155</v>
      </c>
      <c r="P813" s="310">
        <f t="shared" ca="1" si="366"/>
        <v>23</v>
      </c>
      <c r="Q813" s="304">
        <f t="shared" ca="1" si="367"/>
        <v>0</v>
      </c>
      <c r="R813" s="306">
        <f t="shared" ca="1" si="368"/>
        <v>0</v>
      </c>
      <c r="S813" s="307">
        <f t="shared" ca="1" si="369"/>
        <v>5.6519999999999806</v>
      </c>
      <c r="T813" s="304">
        <f t="shared" ca="1" si="349"/>
        <v>55.446119999999816</v>
      </c>
      <c r="U813" s="311">
        <f t="shared" ca="1" si="350"/>
        <v>0</v>
      </c>
      <c r="V813" s="306">
        <f t="shared" ca="1" si="351"/>
        <v>1.0084894623896314</v>
      </c>
      <c r="W813" s="304">
        <f t="shared" ca="1" si="352"/>
        <v>38.446903119549795</v>
      </c>
      <c r="Y813" s="314" t="str">
        <f t="shared" ca="1" si="370"/>
        <v/>
      </c>
      <c r="Z813" s="315" t="str">
        <f t="shared" ca="1" si="371"/>
        <v/>
      </c>
      <c r="AA813" s="316" t="str">
        <f t="shared" ca="1" si="372"/>
        <v/>
      </c>
      <c r="AC813" s="310" t="e">
        <f t="shared" ca="1" si="373"/>
        <v>#N/A</v>
      </c>
      <c r="AD813" s="323" t="e">
        <f t="shared" ca="1" si="374"/>
        <v>#N/A</v>
      </c>
      <c r="AE813" s="324" t="e">
        <f t="shared" ca="1" si="353"/>
        <v>#N/A</v>
      </c>
      <c r="AG813" s="306">
        <f t="shared" ca="1" si="375"/>
        <v>2.9968154445990605</v>
      </c>
      <c r="AH813" s="304">
        <f t="shared" ca="1" si="376"/>
        <v>-6.7651990932181567</v>
      </c>
    </row>
    <row r="814" spans="1:34" x14ac:dyDescent="0.2">
      <c r="A814" s="347">
        <f t="shared" ca="1" si="354"/>
        <v>0.1</v>
      </c>
      <c r="B814" s="304">
        <f t="shared" ca="1" si="355"/>
        <v>49.000000000000355</v>
      </c>
      <c r="D814" s="306">
        <f t="shared" ca="1" si="356"/>
        <v>-0.66766706897021244</v>
      </c>
      <c r="E814" s="307">
        <f t="shared" ca="1" si="357"/>
        <v>-3.0404921477165923</v>
      </c>
      <c r="F814" s="304">
        <f t="shared" ca="1" si="358"/>
        <v>3.1129362048255227</v>
      </c>
      <c r="G814" s="306">
        <f t="shared" ca="1" si="359"/>
        <v>14.828171761617721</v>
      </c>
      <c r="H814" s="307">
        <f t="shared" ca="1" si="360"/>
        <v>-151.32453173970407</v>
      </c>
      <c r="I814" s="304">
        <f t="shared" ca="1" si="361"/>
        <v>152.04929655882248</v>
      </c>
      <c r="J814" s="306">
        <f t="shared" ca="1" si="362"/>
        <v>1283.9671848946816</v>
      </c>
      <c r="K814" s="307">
        <f t="shared" ca="1" si="363"/>
        <v>1923.6475498936334</v>
      </c>
      <c r="L814" s="304">
        <f t="shared" ca="1" si="348"/>
        <v>2312.7887123769333</v>
      </c>
      <c r="M814" s="306">
        <f t="shared" ca="1" si="364"/>
        <v>-1.4731189464011571</v>
      </c>
      <c r="N814" s="304">
        <f t="shared" ca="1" si="365"/>
        <v>-84.403498349544833</v>
      </c>
      <c r="P814" s="310">
        <f t="shared" ca="1" si="366"/>
        <v>23</v>
      </c>
      <c r="Q814" s="304">
        <f t="shared" ca="1" si="367"/>
        <v>0</v>
      </c>
      <c r="R814" s="306">
        <f t="shared" ca="1" si="368"/>
        <v>0</v>
      </c>
      <c r="S814" s="307">
        <f t="shared" ca="1" si="369"/>
        <v>5.6519999999999806</v>
      </c>
      <c r="T814" s="304">
        <f t="shared" ca="1" si="349"/>
        <v>55.446119999999816</v>
      </c>
      <c r="U814" s="311">
        <f t="shared" ca="1" si="350"/>
        <v>0</v>
      </c>
      <c r="V814" s="306">
        <f t="shared" ca="1" si="351"/>
        <v>1.0100295446269265</v>
      </c>
      <c r="W814" s="304">
        <f t="shared" ca="1" si="352"/>
        <v>38.656005294513641</v>
      </c>
      <c r="Y814" s="314" t="str">
        <f t="shared" ca="1" si="370"/>
        <v/>
      </c>
      <c r="Z814" s="315" t="str">
        <f t="shared" ca="1" si="371"/>
        <v/>
      </c>
      <c r="AA814" s="316" t="str">
        <f t="shared" ca="1" si="372"/>
        <v/>
      </c>
      <c r="AC814" s="310">
        <f t="shared" ca="1" si="373"/>
        <v>49.000000000000355</v>
      </c>
      <c r="AD814" s="323">
        <f t="shared" ca="1" si="374"/>
        <v>1283.9671848946816</v>
      </c>
      <c r="AE814" s="324" t="e">
        <f t="shared" ca="1" si="353"/>
        <v>#N/A</v>
      </c>
      <c r="AG814" s="306">
        <f t="shared" ca="1" si="375"/>
        <v>2.9602777271110456</v>
      </c>
      <c r="AH814" s="304">
        <f t="shared" ca="1" si="376"/>
        <v>-6.8023537012650257</v>
      </c>
    </row>
    <row r="815" spans="1:34" x14ac:dyDescent="0.2">
      <c r="A815" s="347">
        <f t="shared" ca="1" si="354"/>
        <v>0.1</v>
      </c>
      <c r="B815" s="304">
        <f t="shared" ca="1" si="355"/>
        <v>49.100000000000357</v>
      </c>
      <c r="D815" s="306">
        <f t="shared" ca="1" si="356"/>
        <v>-0.66698798651146174</v>
      </c>
      <c r="E815" s="307">
        <f t="shared" ca="1" si="357"/>
        <v>-3.0032509039237407</v>
      </c>
      <c r="F815" s="304">
        <f t="shared" ca="1" si="358"/>
        <v>3.0764247050869589</v>
      </c>
      <c r="G815" s="306">
        <f t="shared" ca="1" si="359"/>
        <v>14.761472962966575</v>
      </c>
      <c r="H815" s="307">
        <f t="shared" ca="1" si="360"/>
        <v>-151.62485683009643</v>
      </c>
      <c r="I815" s="304">
        <f t="shared" ca="1" si="361"/>
        <v>152.34171553708995</v>
      </c>
      <c r="J815" s="306">
        <f t="shared" ca="1" si="362"/>
        <v>1285.4466671309108</v>
      </c>
      <c r="K815" s="307">
        <f t="shared" ca="1" si="363"/>
        <v>1908.5000804651434</v>
      </c>
      <c r="L815" s="304">
        <f t="shared" ca="1" si="348"/>
        <v>2301.0314407181454</v>
      </c>
      <c r="M815" s="306">
        <f t="shared" ca="1" si="364"/>
        <v>-1.4737469373534866</v>
      </c>
      <c r="N815" s="304">
        <f t="shared" ca="1" si="365"/>
        <v>-84.439479580685713</v>
      </c>
      <c r="P815" s="310">
        <f t="shared" ca="1" si="366"/>
        <v>23</v>
      </c>
      <c r="Q815" s="304">
        <f t="shared" ca="1" si="367"/>
        <v>0</v>
      </c>
      <c r="R815" s="306">
        <f t="shared" ca="1" si="368"/>
        <v>0</v>
      </c>
      <c r="S815" s="307">
        <f t="shared" ca="1" si="369"/>
        <v>5.6519999999999806</v>
      </c>
      <c r="T815" s="304">
        <f t="shared" ca="1" si="349"/>
        <v>55.446119999999816</v>
      </c>
      <c r="U815" s="311">
        <f t="shared" ca="1" si="350"/>
        <v>0</v>
      </c>
      <c r="V815" s="306">
        <f t="shared" ca="1" si="351"/>
        <v>1.0115748371651956</v>
      </c>
      <c r="W815" s="304">
        <f t="shared" ca="1" si="352"/>
        <v>38.864202966725443</v>
      </c>
      <c r="Y815" s="314" t="str">
        <f t="shared" ca="1" si="370"/>
        <v/>
      </c>
      <c r="Z815" s="315" t="str">
        <f t="shared" ca="1" si="371"/>
        <v/>
      </c>
      <c r="AA815" s="316" t="str">
        <f t="shared" ca="1" si="372"/>
        <v/>
      </c>
      <c r="AC815" s="310" t="e">
        <f t="shared" ca="1" si="373"/>
        <v>#N/A</v>
      </c>
      <c r="AD815" s="323" t="e">
        <f t="shared" ca="1" si="374"/>
        <v>#N/A</v>
      </c>
      <c r="AE815" s="324" t="e">
        <f t="shared" ca="1" si="353"/>
        <v>#N/A</v>
      </c>
      <c r="AG815" s="306">
        <f t="shared" ca="1" si="375"/>
        <v>2.9238893856650323</v>
      </c>
      <c r="AH815" s="304">
        <f t="shared" ca="1" si="376"/>
        <v>-6.8393498397936616</v>
      </c>
    </row>
    <row r="816" spans="1:34" x14ac:dyDescent="0.2">
      <c r="A816" s="347">
        <f t="shared" ca="1" si="354"/>
        <v>0.1</v>
      </c>
      <c r="B816" s="304">
        <f t="shared" ca="1" si="355"/>
        <v>49.200000000000358</v>
      </c>
      <c r="D816" s="306">
        <f t="shared" ca="1" si="356"/>
        <v>-0.66628259089890496</v>
      </c>
      <c r="E816" s="307">
        <f t="shared" ca="1" si="357"/>
        <v>-2.9661706134013439</v>
      </c>
      <c r="F816" s="304">
        <f t="shared" ca="1" si="358"/>
        <v>3.0400823342042336</v>
      </c>
      <c r="G816" s="306">
        <f t="shared" ca="1" si="359"/>
        <v>14.694844703876685</v>
      </c>
      <c r="H816" s="307">
        <f t="shared" ca="1" si="360"/>
        <v>-151.92147389143656</v>
      </c>
      <c r="I816" s="304">
        <f t="shared" ca="1" si="361"/>
        <v>152.63051035169048</v>
      </c>
      <c r="J816" s="306">
        <f t="shared" ca="1" si="362"/>
        <v>1286.919483014253</v>
      </c>
      <c r="K816" s="307">
        <f t="shared" ca="1" si="363"/>
        <v>1893.3227639290667</v>
      </c>
      <c r="L816" s="304">
        <f t="shared" ca="1" si="348"/>
        <v>2289.2865360573965</v>
      </c>
      <c r="M816" s="306">
        <f t="shared" ca="1" si="364"/>
        <v>-1.4743697229108623</v>
      </c>
      <c r="N816" s="304">
        <f t="shared" ca="1" si="365"/>
        <v>-84.475162564665041</v>
      </c>
      <c r="P816" s="310">
        <f t="shared" ca="1" si="366"/>
        <v>23</v>
      </c>
      <c r="Q816" s="304">
        <f t="shared" ca="1" si="367"/>
        <v>0</v>
      </c>
      <c r="R816" s="306">
        <f t="shared" ca="1" si="368"/>
        <v>0</v>
      </c>
      <c r="S816" s="307">
        <f t="shared" ca="1" si="369"/>
        <v>5.6519999999999806</v>
      </c>
      <c r="T816" s="304">
        <f t="shared" ca="1" si="349"/>
        <v>55.446119999999816</v>
      </c>
      <c r="U816" s="311">
        <f t="shared" ca="1" si="350"/>
        <v>0</v>
      </c>
      <c r="V816" s="306">
        <f t="shared" ca="1" si="351"/>
        <v>1.013125319228896</v>
      </c>
      <c r="W816" s="304">
        <f t="shared" ca="1" si="352"/>
        <v>39.071487505070131</v>
      </c>
      <c r="Y816" s="314" t="str">
        <f t="shared" ca="1" si="370"/>
        <v/>
      </c>
      <c r="Z816" s="315" t="str">
        <f t="shared" ca="1" si="371"/>
        <v/>
      </c>
      <c r="AA816" s="316" t="str">
        <f t="shared" ca="1" si="372"/>
        <v/>
      </c>
      <c r="AC816" s="310" t="e">
        <f t="shared" ca="1" si="373"/>
        <v>#N/A</v>
      </c>
      <c r="AD816" s="323" t="e">
        <f t="shared" ca="1" si="374"/>
        <v>#N/A</v>
      </c>
      <c r="AE816" s="324" t="e">
        <f t="shared" ca="1" si="353"/>
        <v>#N/A</v>
      </c>
      <c r="AG816" s="306">
        <f t="shared" ca="1" si="375"/>
        <v>2.8876521482539408</v>
      </c>
      <c r="AH816" s="304">
        <f t="shared" ca="1" si="376"/>
        <v>-6.8761859459882482</v>
      </c>
    </row>
    <row r="817" spans="1:34" x14ac:dyDescent="0.2">
      <c r="A817" s="347">
        <f t="shared" ca="1" si="354"/>
        <v>0.1</v>
      </c>
      <c r="B817" s="304">
        <f t="shared" ca="1" si="355"/>
        <v>49.30000000000036</v>
      </c>
      <c r="D817" s="306">
        <f t="shared" ca="1" si="356"/>
        <v>-0.66555114810649973</v>
      </c>
      <c r="E817" s="307">
        <f t="shared" ca="1" si="357"/>
        <v>-2.9292528122598851</v>
      </c>
      <c r="F817" s="304">
        <f t="shared" ca="1" si="358"/>
        <v>3.0039108456940471</v>
      </c>
      <c r="G817" s="306">
        <f t="shared" ca="1" si="359"/>
        <v>14.628289589066036</v>
      </c>
      <c r="H817" s="307">
        <f t="shared" ca="1" si="360"/>
        <v>-152.21439917266255</v>
      </c>
      <c r="I817" s="304">
        <f t="shared" ca="1" si="361"/>
        <v>152.91569628980614</v>
      </c>
      <c r="J817" s="306">
        <f t="shared" ca="1" si="362"/>
        <v>1288.3856397289003</v>
      </c>
      <c r="K817" s="307">
        <f t="shared" ca="1" si="363"/>
        <v>1878.1159702758619</v>
      </c>
      <c r="L817" s="304">
        <f t="shared" ca="1" si="348"/>
        <v>2277.5550826412277</v>
      </c>
      <c r="M817" s="306">
        <f t="shared" ca="1" si="364"/>
        <v>-1.4749873703040595</v>
      </c>
      <c r="N817" s="304">
        <f t="shared" ca="1" si="365"/>
        <v>-84.510551153522499</v>
      </c>
      <c r="P817" s="310">
        <f t="shared" ca="1" si="366"/>
        <v>23</v>
      </c>
      <c r="Q817" s="304">
        <f t="shared" ca="1" si="367"/>
        <v>0</v>
      </c>
      <c r="R817" s="306">
        <f t="shared" ca="1" si="368"/>
        <v>0</v>
      </c>
      <c r="S817" s="307">
        <f t="shared" ca="1" si="369"/>
        <v>5.6519999999999806</v>
      </c>
      <c r="T817" s="304">
        <f t="shared" ca="1" si="349"/>
        <v>55.446119999999816</v>
      </c>
      <c r="U817" s="311">
        <f t="shared" ca="1" si="350"/>
        <v>0</v>
      </c>
      <c r="V817" s="306">
        <f t="shared" ca="1" si="351"/>
        <v>1.0146809700877619</v>
      </c>
      <c r="W817" s="304">
        <f t="shared" ca="1" si="352"/>
        <v>39.27785047971777</v>
      </c>
      <c r="Y817" s="314" t="str">
        <f t="shared" ca="1" si="370"/>
        <v/>
      </c>
      <c r="Z817" s="315" t="str">
        <f t="shared" ca="1" si="371"/>
        <v/>
      </c>
      <c r="AA817" s="316" t="str">
        <f t="shared" ca="1" si="372"/>
        <v/>
      </c>
      <c r="AC817" s="310" t="e">
        <f t="shared" ca="1" si="373"/>
        <v>#N/A</v>
      </c>
      <c r="AD817" s="323" t="e">
        <f t="shared" ca="1" si="374"/>
        <v>#N/A</v>
      </c>
      <c r="AE817" s="324" t="e">
        <f t="shared" ca="1" si="353"/>
        <v>#N/A</v>
      </c>
      <c r="AG817" s="306">
        <f t="shared" ca="1" si="375"/>
        <v>2.8515677034190361</v>
      </c>
      <c r="AH817" s="304">
        <f t="shared" ca="1" si="376"/>
        <v>-6.9128604927583623</v>
      </c>
    </row>
    <row r="818" spans="1:34" x14ac:dyDescent="0.2">
      <c r="A818" s="347">
        <f t="shared" ca="1" si="354"/>
        <v>0.1</v>
      </c>
      <c r="B818" s="304">
        <f t="shared" ca="1" si="355"/>
        <v>49.400000000000361</v>
      </c>
      <c r="D818" s="306">
        <f t="shared" ca="1" si="356"/>
        <v>-0.66479392487683608</v>
      </c>
      <c r="E818" s="307">
        <f t="shared" ca="1" si="357"/>
        <v>-2.8924990008128102</v>
      </c>
      <c r="F818" s="304">
        <f t="shared" ca="1" si="358"/>
        <v>2.967911965044828</v>
      </c>
      <c r="G818" s="306">
        <f t="shared" ca="1" si="359"/>
        <v>14.561810196578351</v>
      </c>
      <c r="H818" s="307">
        <f t="shared" ca="1" si="360"/>
        <v>-152.50364907274383</v>
      </c>
      <c r="I818" s="304">
        <f t="shared" ca="1" si="361"/>
        <v>153.197288803372</v>
      </c>
      <c r="J818" s="306">
        <f t="shared" ca="1" si="362"/>
        <v>1289.8451447181826</v>
      </c>
      <c r="K818" s="307">
        <f t="shared" ca="1" si="363"/>
        <v>1862.8800678635916</v>
      </c>
      <c r="L818" s="304">
        <f t="shared" ca="1" si="348"/>
        <v>2265.8381770542505</v>
      </c>
      <c r="M818" s="306">
        <f t="shared" ca="1" si="364"/>
        <v>-1.4755999455425</v>
      </c>
      <c r="N818" s="304">
        <f t="shared" ca="1" si="365"/>
        <v>-84.545649129319358</v>
      </c>
      <c r="P818" s="310">
        <f t="shared" ca="1" si="366"/>
        <v>23</v>
      </c>
      <c r="Q818" s="304">
        <f t="shared" ca="1" si="367"/>
        <v>0</v>
      </c>
      <c r="R818" s="306">
        <f t="shared" ca="1" si="368"/>
        <v>0</v>
      </c>
      <c r="S818" s="307">
        <f t="shared" ca="1" si="369"/>
        <v>5.6519999999999806</v>
      </c>
      <c r="T818" s="304">
        <f t="shared" ca="1" si="349"/>
        <v>55.446119999999816</v>
      </c>
      <c r="U818" s="311">
        <f t="shared" ca="1" si="350"/>
        <v>0</v>
      </c>
      <c r="V818" s="306">
        <f t="shared" ca="1" si="351"/>
        <v>1.0162417690579322</v>
      </c>
      <c r="W818" s="304">
        <f t="shared" ca="1" si="352"/>
        <v>39.48328366144785</v>
      </c>
      <c r="Y818" s="314" t="str">
        <f t="shared" ca="1" si="370"/>
        <v/>
      </c>
      <c r="Z818" s="315" t="str">
        <f t="shared" ca="1" si="371"/>
        <v/>
      </c>
      <c r="AA818" s="316" t="str">
        <f t="shared" ca="1" si="372"/>
        <v/>
      </c>
      <c r="AC818" s="310" t="e">
        <f t="shared" ca="1" si="373"/>
        <v>#N/A</v>
      </c>
      <c r="AD818" s="323" t="e">
        <f t="shared" ca="1" si="374"/>
        <v>#N/A</v>
      </c>
      <c r="AE818" s="324" t="e">
        <f t="shared" ca="1" si="353"/>
        <v>#N/A</v>
      </c>
      <c r="AG818" s="306">
        <f t="shared" ca="1" si="375"/>
        <v>2.8156377004628066</v>
      </c>
      <c r="AH818" s="304">
        <f t="shared" ca="1" si="376"/>
        <v>-6.9493719886266643</v>
      </c>
    </row>
    <row r="819" spans="1:34" x14ac:dyDescent="0.2">
      <c r="A819" s="347">
        <f t="shared" ca="1" si="354"/>
        <v>0.1</v>
      </c>
      <c r="B819" s="304">
        <f t="shared" ca="1" si="355"/>
        <v>49.500000000000362</v>
      </c>
      <c r="D819" s="306">
        <f t="shared" ca="1" si="356"/>
        <v>-0.66401118866500131</v>
      </c>
      <c r="E819" s="307">
        <f t="shared" ca="1" si="357"/>
        <v>-2.8559106436961166</v>
      </c>
      <c r="F819" s="304">
        <f t="shared" ca="1" si="358"/>
        <v>2.9320873901452993</v>
      </c>
      <c r="G819" s="306">
        <f t="shared" ca="1" si="359"/>
        <v>14.495409077711852</v>
      </c>
      <c r="H819" s="307">
        <f t="shared" ca="1" si="360"/>
        <v>-152.78924013711344</v>
      </c>
      <c r="I819" s="304">
        <f t="shared" ca="1" si="361"/>
        <v>153.47530350517874</v>
      </c>
      <c r="J819" s="306">
        <f t="shared" ca="1" si="362"/>
        <v>1291.2980056818972</v>
      </c>
      <c r="K819" s="307">
        <f t="shared" ca="1" si="363"/>
        <v>1847.6154234030987</v>
      </c>
      <c r="L819" s="304">
        <f t="shared" ca="1" si="348"/>
        <v>2254.1369284662046</v>
      </c>
      <c r="M819" s="306">
        <f t="shared" ca="1" si="364"/>
        <v>-1.4762075134415114</v>
      </c>
      <c r="N819" s="304">
        <f t="shared" ca="1" si="365"/>
        <v>-84.580460205700348</v>
      </c>
      <c r="P819" s="310">
        <f t="shared" ca="1" si="366"/>
        <v>23</v>
      </c>
      <c r="Q819" s="304">
        <f t="shared" ca="1" si="367"/>
        <v>0</v>
      </c>
      <c r="R819" s="306">
        <f t="shared" ca="1" si="368"/>
        <v>0</v>
      </c>
      <c r="S819" s="307">
        <f t="shared" ca="1" si="369"/>
        <v>5.6519999999999806</v>
      </c>
      <c r="T819" s="304">
        <f t="shared" ca="1" si="349"/>
        <v>55.446119999999816</v>
      </c>
      <c r="U819" s="311">
        <f t="shared" ca="1" si="350"/>
        <v>0</v>
      </c>
      <c r="V819" s="306">
        <f t="shared" ca="1" si="351"/>
        <v>1.0178076955030686</v>
      </c>
      <c r="W819" s="304">
        <f t="shared" ca="1" si="352"/>
        <v>39.687779020933391</v>
      </c>
      <c r="Y819" s="314" t="str">
        <f t="shared" ca="1" si="370"/>
        <v/>
      </c>
      <c r="Z819" s="315" t="str">
        <f t="shared" ca="1" si="371"/>
        <v/>
      </c>
      <c r="AA819" s="316" t="str">
        <f t="shared" ca="1" si="372"/>
        <v/>
      </c>
      <c r="AC819" s="310" t="e">
        <f t="shared" ca="1" si="373"/>
        <v>#N/A</v>
      </c>
      <c r="AD819" s="323" t="e">
        <f t="shared" ca="1" si="374"/>
        <v>#N/A</v>
      </c>
      <c r="AE819" s="324" t="e">
        <f t="shared" ca="1" si="353"/>
        <v>#N/A</v>
      </c>
      <c r="AG819" s="306">
        <f t="shared" ca="1" si="375"/>
        <v>2.7798637496659726</v>
      </c>
      <c r="AH819" s="304">
        <f t="shared" ca="1" si="376"/>
        <v>-6.9857189776093396</v>
      </c>
    </row>
    <row r="820" spans="1:34" x14ac:dyDescent="0.2">
      <c r="A820" s="347">
        <f t="shared" ca="1" si="354"/>
        <v>0.1</v>
      </c>
      <c r="B820" s="304">
        <f t="shared" ca="1" si="355"/>
        <v>49.600000000000364</v>
      </c>
      <c r="D820" s="306">
        <f t="shared" ca="1" si="356"/>
        <v>-0.66320320758295681</v>
      </c>
      <c r="E820" s="307">
        <f t="shared" ca="1" si="357"/>
        <v>-2.8194891699950864</v>
      </c>
      <c r="F820" s="304">
        <f t="shared" ca="1" si="358"/>
        <v>2.8964387917351031</v>
      </c>
      <c r="G820" s="306">
        <f t="shared" ca="1" si="359"/>
        <v>14.429088756953556</v>
      </c>
      <c r="H820" s="307">
        <f t="shared" ca="1" si="360"/>
        <v>-153.07118905411295</v>
      </c>
      <c r="I820" s="304">
        <f t="shared" ca="1" si="361"/>
        <v>153.749756164997</v>
      </c>
      <c r="J820" s="306">
        <f t="shared" ca="1" si="362"/>
        <v>1292.7442305736304</v>
      </c>
      <c r="K820" s="307">
        <f t="shared" ca="1" si="363"/>
        <v>1832.3224019435374</v>
      </c>
      <c r="L820" s="304">
        <f t="shared" ca="1" si="348"/>
        <v>2242.452458881914</v>
      </c>
      <c r="M820" s="306">
        <f t="shared" ca="1" si="364"/>
        <v>-1.476810137648866</v>
      </c>
      <c r="N820" s="304">
        <f t="shared" ca="1" si="365"/>
        <v>-84.614988029414178</v>
      </c>
      <c r="P820" s="310">
        <f t="shared" ca="1" si="366"/>
        <v>23</v>
      </c>
      <c r="Q820" s="304">
        <f t="shared" ca="1" si="367"/>
        <v>0</v>
      </c>
      <c r="R820" s="306">
        <f t="shared" ca="1" si="368"/>
        <v>0</v>
      </c>
      <c r="S820" s="307">
        <f t="shared" ca="1" si="369"/>
        <v>5.6519999999999806</v>
      </c>
      <c r="T820" s="304">
        <f t="shared" ca="1" si="349"/>
        <v>55.446119999999816</v>
      </c>
      <c r="U820" s="311">
        <f t="shared" ca="1" si="350"/>
        <v>0</v>
      </c>
      <c r="V820" s="306">
        <f t="shared" ca="1" si="351"/>
        <v>1.0193787288354614</v>
      </c>
      <c r="W820" s="304">
        <f t="shared" ca="1" si="352"/>
        <v>39.891328727985325</v>
      </c>
      <c r="Y820" s="314" t="str">
        <f t="shared" ca="1" si="370"/>
        <v/>
      </c>
      <c r="Z820" s="315" t="str">
        <f t="shared" ca="1" si="371"/>
        <v/>
      </c>
      <c r="AA820" s="316" t="str">
        <f t="shared" ca="1" si="372"/>
        <v/>
      </c>
      <c r="AC820" s="310" t="e">
        <f t="shared" ca="1" si="373"/>
        <v>#N/A</v>
      </c>
      <c r="AD820" s="323" t="e">
        <f t="shared" ca="1" si="374"/>
        <v>#N/A</v>
      </c>
      <c r="AE820" s="324" t="e">
        <f t="shared" ca="1" si="353"/>
        <v>#N/A</v>
      </c>
      <c r="AG820" s="306">
        <f t="shared" ca="1" si="375"/>
        <v>2.7442474225085514</v>
      </c>
      <c r="AH820" s="304">
        <f t="shared" ca="1" si="376"/>
        <v>-7.0219000390894424</v>
      </c>
    </row>
    <row r="821" spans="1:34" x14ac:dyDescent="0.2">
      <c r="A821" s="347">
        <f t="shared" ca="1" si="354"/>
        <v>0.1</v>
      </c>
      <c r="B821" s="304">
        <f t="shared" ca="1" si="355"/>
        <v>49.700000000000365</v>
      </c>
      <c r="D821" s="306">
        <f t="shared" ca="1" si="356"/>
        <v>-0.66237025034444963</v>
      </c>
      <c r="E821" s="307">
        <f t="shared" ca="1" si="357"/>
        <v>-2.7832359733781251</v>
      </c>
      <c r="F821" s="304">
        <f t="shared" ca="1" si="358"/>
        <v>2.8609678138782773</v>
      </c>
      <c r="G821" s="306">
        <f t="shared" ca="1" si="359"/>
        <v>14.362851731919111</v>
      </c>
      <c r="H821" s="307">
        <f t="shared" ca="1" si="360"/>
        <v>-153.34951265145077</v>
      </c>
      <c r="I821" s="304">
        <f t="shared" ca="1" si="361"/>
        <v>154.0206627057245</v>
      </c>
      <c r="J821" s="306">
        <f t="shared" ca="1" si="362"/>
        <v>1294.183827598074</v>
      </c>
      <c r="K821" s="307">
        <f t="shared" ca="1" si="363"/>
        <v>1817.0013668582592</v>
      </c>
      <c r="L821" s="304">
        <f t="shared" ca="1" si="348"/>
        <v>2230.7859033939549</v>
      </c>
      <c r="M821" s="306">
        <f t="shared" ca="1" si="364"/>
        <v>-1.4774078806706241</v>
      </c>
      <c r="N821" s="304">
        <f t="shared" ca="1" si="365"/>
        <v>-84.649236181794322</v>
      </c>
      <c r="P821" s="310">
        <f t="shared" ca="1" si="366"/>
        <v>23</v>
      </c>
      <c r="Q821" s="304">
        <f t="shared" ca="1" si="367"/>
        <v>0</v>
      </c>
      <c r="R821" s="306">
        <f t="shared" ca="1" si="368"/>
        <v>0</v>
      </c>
      <c r="S821" s="307">
        <f t="shared" ca="1" si="369"/>
        <v>5.6519999999999806</v>
      </c>
      <c r="T821" s="304">
        <f t="shared" ca="1" si="349"/>
        <v>55.446119999999816</v>
      </c>
      <c r="U821" s="311">
        <f t="shared" ca="1" si="350"/>
        <v>0</v>
      </c>
      <c r="V821" s="306">
        <f t="shared" ca="1" si="351"/>
        <v>1.0209548485171229</v>
      </c>
      <c r="W821" s="304">
        <f t="shared" ca="1" si="352"/>
        <v>40.093925150758359</v>
      </c>
      <c r="Y821" s="314" t="str">
        <f t="shared" ca="1" si="370"/>
        <v/>
      </c>
      <c r="Z821" s="315" t="str">
        <f t="shared" ca="1" si="371"/>
        <v/>
      </c>
      <c r="AA821" s="316" t="str">
        <f t="shared" ca="1" si="372"/>
        <v/>
      </c>
      <c r="AC821" s="310" t="e">
        <f t="shared" ca="1" si="373"/>
        <v>#N/A</v>
      </c>
      <c r="AD821" s="323" t="e">
        <f t="shared" ca="1" si="374"/>
        <v>#N/A</v>
      </c>
      <c r="AE821" s="324" t="e">
        <f t="shared" ca="1" si="353"/>
        <v>#N/A</v>
      </c>
      <c r="AG821" s="306">
        <f t="shared" ca="1" si="375"/>
        <v>2.7087902518950555</v>
      </c>
      <c r="AH821" s="304">
        <f t="shared" ca="1" si="376"/>
        <v>-7.0579137876832023</v>
      </c>
    </row>
    <row r="822" spans="1:34" x14ac:dyDescent="0.2">
      <c r="A822" s="347">
        <f t="shared" ca="1" si="354"/>
        <v>0.1</v>
      </c>
      <c r="B822" s="304">
        <f t="shared" ca="1" si="355"/>
        <v>49.800000000000367</v>
      </c>
      <c r="D822" s="306">
        <f t="shared" ca="1" si="356"/>
        <v>-0.66151258621046782</v>
      </c>
      <c r="E822" s="307">
        <f t="shared" ca="1" si="357"/>
        <v>-2.7471524122374458</v>
      </c>
      <c r="F822" s="304">
        <f t="shared" ca="1" si="358"/>
        <v>2.8256760744602127</v>
      </c>
      <c r="G822" s="306">
        <f t="shared" ca="1" si="359"/>
        <v>14.296700473298065</v>
      </c>
      <c r="H822" s="307">
        <f t="shared" ca="1" si="360"/>
        <v>-153.6242278926745</v>
      </c>
      <c r="I822" s="304">
        <f t="shared" ca="1" si="361"/>
        <v>154.28803919955556</v>
      </c>
      <c r="J822" s="306">
        <f t="shared" ca="1" si="362"/>
        <v>1295.6168052083349</v>
      </c>
      <c r="K822" s="307">
        <f t="shared" ca="1" si="363"/>
        <v>1801.6526798310529</v>
      </c>
      <c r="L822" s="304">
        <f t="shared" ca="1" si="348"/>
        <v>2219.138410437859</v>
      </c>
      <c r="M822" s="306">
        <f t="shared" ca="1" si="364"/>
        <v>-1.4780008038963015</v>
      </c>
      <c r="N822" s="304">
        <f t="shared" ca="1" si="365"/>
        <v>-84.683208180200921</v>
      </c>
      <c r="P822" s="310">
        <f t="shared" ca="1" si="366"/>
        <v>23</v>
      </c>
      <c r="Q822" s="304">
        <f t="shared" ca="1" si="367"/>
        <v>0</v>
      </c>
      <c r="R822" s="306">
        <f t="shared" ca="1" si="368"/>
        <v>0</v>
      </c>
      <c r="S822" s="307">
        <f t="shared" ca="1" si="369"/>
        <v>5.6519999999999806</v>
      </c>
      <c r="T822" s="304">
        <f t="shared" ca="1" si="349"/>
        <v>55.446119999999816</v>
      </c>
      <c r="U822" s="311">
        <f t="shared" ca="1" si="350"/>
        <v>0</v>
      </c>
      <c r="V822" s="306">
        <f t="shared" ca="1" si="351"/>
        <v>1.0225360340608691</v>
      </c>
      <c r="W822" s="304">
        <f t="shared" ca="1" si="352"/>
        <v>40.295560854918413</v>
      </c>
      <c r="Y822" s="314" t="str">
        <f t="shared" ca="1" si="370"/>
        <v/>
      </c>
      <c r="Z822" s="315" t="str">
        <f t="shared" ca="1" si="371"/>
        <v/>
      </c>
      <c r="AA822" s="316" t="str">
        <f t="shared" ca="1" si="372"/>
        <v/>
      </c>
      <c r="AC822" s="310" t="e">
        <f t="shared" ca="1" si="373"/>
        <v>#N/A</v>
      </c>
      <c r="AD822" s="323" t="e">
        <f t="shared" ca="1" si="374"/>
        <v>#N/A</v>
      </c>
      <c r="AE822" s="324" t="e">
        <f t="shared" ca="1" si="353"/>
        <v>#N/A</v>
      </c>
      <c r="AG822" s="306">
        <f t="shared" ca="1" si="375"/>
        <v>2.6734937323836503</v>
      </c>
      <c r="AH822" s="304">
        <f t="shared" ca="1" si="376"/>
        <v>-7.0937588730995218</v>
      </c>
    </row>
    <row r="823" spans="1:34" x14ac:dyDescent="0.2">
      <c r="A823" s="347">
        <f t="shared" ca="1" si="354"/>
        <v>0.1</v>
      </c>
      <c r="B823" s="304">
        <f t="shared" ca="1" si="355"/>
        <v>49.900000000000368</v>
      </c>
      <c r="D823" s="306">
        <f t="shared" ca="1" si="356"/>
        <v>-0.66063048493523202</v>
      </c>
      <c r="E823" s="307">
        <f t="shared" ca="1" si="357"/>
        <v>-2.7112398098366279</v>
      </c>
      <c r="F823" s="304">
        <f t="shared" ca="1" si="358"/>
        <v>2.7905651657090389</v>
      </c>
      <c r="G823" s="306">
        <f t="shared" ca="1" si="359"/>
        <v>14.230637424804542</v>
      </c>
      <c r="H823" s="307">
        <f t="shared" ca="1" si="360"/>
        <v>-153.89535187365817</v>
      </c>
      <c r="I823" s="304">
        <f t="shared" ca="1" si="361"/>
        <v>154.55190186417414</v>
      </c>
      <c r="J823" s="306">
        <f t="shared" ca="1" si="362"/>
        <v>1297.0431721032401</v>
      </c>
      <c r="K823" s="307">
        <f t="shared" ca="1" si="363"/>
        <v>1786.2767008427363</v>
      </c>
      <c r="L823" s="304">
        <f t="shared" ca="1" si="348"/>
        <v>2207.5111420496264</v>
      </c>
      <c r="M823" s="306">
        <f t="shared" ca="1" si="364"/>
        <v>-1.478588967623383</v>
      </c>
      <c r="N823" s="304">
        <f t="shared" ca="1" si="365"/>
        <v>-84.716907479425373</v>
      </c>
      <c r="P823" s="310">
        <f t="shared" ca="1" si="366"/>
        <v>23</v>
      </c>
      <c r="Q823" s="304">
        <f t="shared" ca="1" si="367"/>
        <v>0</v>
      </c>
      <c r="R823" s="306">
        <f t="shared" ca="1" si="368"/>
        <v>0</v>
      </c>
      <c r="S823" s="307">
        <f t="shared" ca="1" si="369"/>
        <v>5.6519999999999806</v>
      </c>
      <c r="T823" s="304">
        <f t="shared" ca="1" si="349"/>
        <v>55.446119999999816</v>
      </c>
      <c r="U823" s="311">
        <f t="shared" ca="1" si="350"/>
        <v>0</v>
      </c>
      <c r="V823" s="306">
        <f t="shared" ca="1" si="351"/>
        <v>1.0241222650313895</v>
      </c>
      <c r="W823" s="304">
        <f t="shared" ca="1" si="352"/>
        <v>40.496228602772959</v>
      </c>
      <c r="Y823" s="314" t="str">
        <f t="shared" ca="1" si="370"/>
        <v/>
      </c>
      <c r="Z823" s="315" t="str">
        <f t="shared" ca="1" si="371"/>
        <v/>
      </c>
      <c r="AA823" s="316" t="str">
        <f t="shared" ca="1" si="372"/>
        <v/>
      </c>
      <c r="AC823" s="310" t="e">
        <f t="shared" ca="1" si="373"/>
        <v>#N/A</v>
      </c>
      <c r="AD823" s="323" t="e">
        <f t="shared" ca="1" si="374"/>
        <v>#N/A</v>
      </c>
      <c r="AE823" s="324" t="e">
        <f t="shared" ca="1" si="353"/>
        <v>#N/A</v>
      </c>
      <c r="AG823" s="306">
        <f t="shared" ca="1" si="375"/>
        <v>2.6383593204194264</v>
      </c>
      <c r="AH823" s="304">
        <f t="shared" ca="1" si="376"/>
        <v>-7.1294339799926663</v>
      </c>
    </row>
    <row r="824" spans="1:34" x14ac:dyDescent="0.2">
      <c r="A824" s="347">
        <f t="shared" ca="1" si="354"/>
        <v>0.1</v>
      </c>
      <c r="B824" s="304">
        <f t="shared" ca="1" si="355"/>
        <v>50.000000000000369</v>
      </c>
      <c r="D824" s="306">
        <f t="shared" ca="1" si="356"/>
        <v>-0.65972421671275028</v>
      </c>
      <c r="E824" s="307">
        <f t="shared" ca="1" si="357"/>
        <v>-2.6754994544647657</v>
      </c>
      <c r="F824" s="304">
        <f t="shared" ca="1" si="358"/>
        <v>2.7556366547421507</v>
      </c>
      <c r="G824" s="306">
        <f t="shared" ca="1" si="359"/>
        <v>14.164665003133267</v>
      </c>
      <c r="H824" s="307">
        <f t="shared" ca="1" si="360"/>
        <v>-154.16290181910466</v>
      </c>
      <c r="I824" s="304">
        <f t="shared" ca="1" si="361"/>
        <v>154.81226705897015</v>
      </c>
      <c r="J824" s="306">
        <f t="shared" ca="1" si="362"/>
        <v>1298.462937224637</v>
      </c>
      <c r="K824" s="307">
        <f t="shared" ca="1" si="363"/>
        <v>1770.8737881580983</v>
      </c>
      <c r="L824" s="304">
        <f t="shared" ca="1" si="348"/>
        <v>2195.9052741253308</v>
      </c>
      <c r="M824" s="306">
        <f t="shared" ca="1" si="364"/>
        <v>-1.4791724310811996</v>
      </c>
      <c r="N824" s="304">
        <f t="shared" ca="1" si="365"/>
        <v>-84.750337473058366</v>
      </c>
      <c r="P824" s="310">
        <f t="shared" ca="1" si="366"/>
        <v>23</v>
      </c>
      <c r="Q824" s="304">
        <f t="shared" ca="1" si="367"/>
        <v>0</v>
      </c>
      <c r="R824" s="306">
        <f t="shared" ca="1" si="368"/>
        <v>0</v>
      </c>
      <c r="S824" s="307">
        <f t="shared" ca="1" si="369"/>
        <v>5.6519999999999806</v>
      </c>
      <c r="T824" s="304">
        <f t="shared" ca="1" si="349"/>
        <v>55.446119999999816</v>
      </c>
      <c r="U824" s="311">
        <f t="shared" ca="1" si="350"/>
        <v>0</v>
      </c>
      <c r="V824" s="306">
        <f t="shared" ca="1" si="351"/>
        <v>1.0257135210463042</v>
      </c>
      <c r="W824" s="304">
        <f t="shared" ca="1" si="352"/>
        <v>40.695921352364458</v>
      </c>
      <c r="Y824" s="314" t="str">
        <f t="shared" ca="1" si="370"/>
        <v/>
      </c>
      <c r="Z824" s="315" t="str">
        <f t="shared" ca="1" si="371"/>
        <v/>
      </c>
      <c r="AA824" s="316" t="str">
        <f t="shared" ca="1" si="372"/>
        <v/>
      </c>
      <c r="AC824" s="310">
        <f t="shared" ca="1" si="373"/>
        <v>50.000000000000369</v>
      </c>
      <c r="AD824" s="323">
        <f t="shared" ca="1" si="374"/>
        <v>1298.462937224637</v>
      </c>
      <c r="AE824" s="324" t="e">
        <f t="shared" ca="1" si="353"/>
        <v>#N/A</v>
      </c>
      <c r="AG824" s="306">
        <f t="shared" ca="1" si="375"/>
        <v>2.6033884345715839</v>
      </c>
      <c r="AH824" s="304">
        <f t="shared" ca="1" si="376"/>
        <v>-7.1649378278084042</v>
      </c>
    </row>
    <row r="825" spans="1:34" x14ac:dyDescent="0.2">
      <c r="A825" s="347">
        <f t="shared" ca="1" si="354"/>
        <v>0.1</v>
      </c>
      <c r="B825" s="304">
        <f t="shared" ca="1" si="355"/>
        <v>50.100000000000371</v>
      </c>
      <c r="D825" s="306">
        <f t="shared" ca="1" si="356"/>
        <v>-0.65879405212393405</v>
      </c>
      <c r="E825" s="307">
        <f t="shared" ca="1" si="357"/>
        <v>-2.6399325995972109</v>
      </c>
      <c r="F825" s="304">
        <f t="shared" ca="1" si="358"/>
        <v>2.720892084138943</v>
      </c>
      <c r="G825" s="306">
        <f t="shared" ca="1" si="359"/>
        <v>14.098785597920873</v>
      </c>
      <c r="H825" s="307">
        <f t="shared" ca="1" si="360"/>
        <v>-154.42689507906439</v>
      </c>
      <c r="I825" s="304">
        <f t="shared" ca="1" si="361"/>
        <v>155.06915128128</v>
      </c>
      <c r="J825" s="306">
        <f t="shared" ca="1" si="362"/>
        <v>1299.8761097546897</v>
      </c>
      <c r="K825" s="307">
        <f t="shared" ca="1" si="363"/>
        <v>1755.4442983131898</v>
      </c>
      <c r="L825" s="304">
        <f t="shared" ca="1" si="348"/>
        <v>2184.3219966825573</v>
      </c>
      <c r="M825" s="306">
        <f t="shared" ca="1" si="364"/>
        <v>-1.47975125245419</v>
      </c>
      <c r="N825" s="304">
        <f t="shared" ca="1" si="365"/>
        <v>-84.783501494822687</v>
      </c>
      <c r="P825" s="310">
        <f t="shared" ca="1" si="366"/>
        <v>23</v>
      </c>
      <c r="Q825" s="304">
        <f t="shared" ca="1" si="367"/>
        <v>0</v>
      </c>
      <c r="R825" s="306">
        <f t="shared" ca="1" si="368"/>
        <v>0</v>
      </c>
      <c r="S825" s="307">
        <f t="shared" ca="1" si="369"/>
        <v>5.6519999999999806</v>
      </c>
      <c r="T825" s="304">
        <f t="shared" ca="1" si="349"/>
        <v>55.446119999999816</v>
      </c>
      <c r="U825" s="311">
        <f t="shared" ca="1" si="350"/>
        <v>0</v>
      </c>
      <c r="V825" s="306">
        <f t="shared" ca="1" si="351"/>
        <v>1.027309781777209</v>
      </c>
      <c r="W825" s="304">
        <f t="shared" ca="1" si="352"/>
        <v>40.894632256528119</v>
      </c>
      <c r="Y825" s="314" t="str">
        <f t="shared" ca="1" si="370"/>
        <v/>
      </c>
      <c r="Z825" s="315" t="str">
        <f t="shared" ca="1" si="371"/>
        <v/>
      </c>
      <c r="AA825" s="316" t="str">
        <f t="shared" ca="1" si="372"/>
        <v/>
      </c>
      <c r="AC825" s="310" t="e">
        <f t="shared" ca="1" si="373"/>
        <v>#N/A</v>
      </c>
      <c r="AD825" s="323" t="e">
        <f t="shared" ca="1" si="374"/>
        <v>#N/A</v>
      </c>
      <c r="AE825" s="324" t="e">
        <f t="shared" ca="1" si="353"/>
        <v>#N/A</v>
      </c>
      <c r="AG825" s="306">
        <f t="shared" ca="1" si="375"/>
        <v>2.5685824557746235</v>
      </c>
      <c r="AH825" s="304">
        <f t="shared" ca="1" si="376"/>
        <v>-7.2002691706236019</v>
      </c>
    </row>
    <row r="826" spans="1:34" x14ac:dyDescent="0.2">
      <c r="A826" s="347">
        <f t="shared" ca="1" si="354"/>
        <v>0.1</v>
      </c>
      <c r="B826" s="304">
        <f t="shared" ca="1" si="355"/>
        <v>50.200000000000372</v>
      </c>
      <c r="D826" s="306">
        <f t="shared" ca="1" si="356"/>
        <v>-0.65784026208428914</v>
      </c>
      <c r="E826" s="307">
        <f t="shared" ca="1" si="357"/>
        <v>-2.6045404640626701</v>
      </c>
      <c r="F826" s="304">
        <f t="shared" ca="1" si="358"/>
        <v>2.6863329725406184</v>
      </c>
      <c r="G826" s="306">
        <f t="shared" ca="1" si="359"/>
        <v>14.033001571712445</v>
      </c>
      <c r="H826" s="307">
        <f t="shared" ca="1" si="360"/>
        <v>-154.68734912547066</v>
      </c>
      <c r="I826" s="304">
        <f t="shared" ca="1" si="361"/>
        <v>155.32257116265149</v>
      </c>
      <c r="J826" s="306">
        <f t="shared" ca="1" si="362"/>
        <v>1301.2826991131712</v>
      </c>
      <c r="K826" s="307">
        <f t="shared" ca="1" si="363"/>
        <v>1739.9885861029632</v>
      </c>
      <c r="L826" s="304">
        <f t="shared" ca="1" si="348"/>
        <v>2172.7625141234025</v>
      </c>
      <c r="M826" s="306">
        <f t="shared" ca="1" si="364"/>
        <v>-1.4803254889045645</v>
      </c>
      <c r="N826" s="304">
        <f t="shared" ca="1" si="365"/>
        <v>-84.816402819871726</v>
      </c>
      <c r="P826" s="310">
        <f t="shared" ca="1" si="366"/>
        <v>23</v>
      </c>
      <c r="Q826" s="304">
        <f t="shared" ca="1" si="367"/>
        <v>0</v>
      </c>
      <c r="R826" s="306">
        <f t="shared" ca="1" si="368"/>
        <v>0</v>
      </c>
      <c r="S826" s="307">
        <f t="shared" ca="1" si="369"/>
        <v>5.6519999999999806</v>
      </c>
      <c r="T826" s="304">
        <f t="shared" ca="1" si="349"/>
        <v>55.446119999999816</v>
      </c>
      <c r="U826" s="311">
        <f t="shared" ca="1" si="350"/>
        <v>0</v>
      </c>
      <c r="V826" s="306">
        <f t="shared" ca="1" si="351"/>
        <v>1.0289110269507082</v>
      </c>
      <c r="W826" s="304">
        <f t="shared" ca="1" si="352"/>
        <v>41.092354661914463</v>
      </c>
      <c r="Y826" s="314" t="str">
        <f t="shared" ca="1" si="370"/>
        <v/>
      </c>
      <c r="Z826" s="315" t="str">
        <f t="shared" ca="1" si="371"/>
        <v/>
      </c>
      <c r="AA826" s="316" t="str">
        <f t="shared" ca="1" si="372"/>
        <v/>
      </c>
      <c r="AC826" s="310" t="e">
        <f t="shared" ca="1" si="373"/>
        <v>#N/A</v>
      </c>
      <c r="AD826" s="323" t="e">
        <f t="shared" ca="1" si="374"/>
        <v>#N/A</v>
      </c>
      <c r="AE826" s="324" t="e">
        <f t="shared" ca="1" si="353"/>
        <v>#N/A</v>
      </c>
      <c r="AG826" s="306">
        <f t="shared" ca="1" si="375"/>
        <v>2.5339427275733888</v>
      </c>
      <c r="AH826" s="304">
        <f t="shared" ca="1" si="376"/>
        <v>-7.2354267969795218</v>
      </c>
    </row>
    <row r="827" spans="1:34" x14ac:dyDescent="0.2">
      <c r="A827" s="347">
        <f t="shared" ca="1" si="354"/>
        <v>0.1</v>
      </c>
      <c r="B827" s="304">
        <f t="shared" ca="1" si="355"/>
        <v>50.300000000000374</v>
      </c>
      <c r="D827" s="306">
        <f t="shared" ca="1" si="356"/>
        <v>-0.65686311779218642</v>
      </c>
      <c r="E827" s="307">
        <f t="shared" ca="1" si="357"/>
        <v>-2.5693242322165766</v>
      </c>
      <c r="F827" s="304">
        <f t="shared" ca="1" si="358"/>
        <v>2.6519608152781919</v>
      </c>
      <c r="G827" s="306">
        <f t="shared" ca="1" si="359"/>
        <v>13.967315259933226</v>
      </c>
      <c r="H827" s="307">
        <f t="shared" ca="1" si="360"/>
        <v>-154.94428154869232</v>
      </c>
      <c r="I827" s="304">
        <f t="shared" ca="1" si="361"/>
        <v>155.57254346513332</v>
      </c>
      <c r="J827" s="306">
        <f t="shared" ca="1" si="362"/>
        <v>1302.6827149547535</v>
      </c>
      <c r="K827" s="307">
        <f t="shared" ca="1" si="363"/>
        <v>1724.5070045692551</v>
      </c>
      <c r="L827" s="304">
        <f t="shared" ca="1" si="348"/>
        <v>2161.2280454987417</v>
      </c>
      <c r="M827" s="306">
        <f t="shared" ca="1" si="364"/>
        <v>-1.48089519659439</v>
      </c>
      <c r="N827" s="304">
        <f t="shared" ca="1" si="365"/>
        <v>-84.849044666054866</v>
      </c>
      <c r="P827" s="310">
        <f t="shared" ca="1" si="366"/>
        <v>23</v>
      </c>
      <c r="Q827" s="304">
        <f t="shared" ca="1" si="367"/>
        <v>0</v>
      </c>
      <c r="R827" s="306">
        <f t="shared" ca="1" si="368"/>
        <v>0</v>
      </c>
      <c r="S827" s="307">
        <f t="shared" ca="1" si="369"/>
        <v>5.6519999999999806</v>
      </c>
      <c r="T827" s="304">
        <f t="shared" ca="1" si="349"/>
        <v>55.446119999999816</v>
      </c>
      <c r="U827" s="311">
        <f t="shared" ca="1" si="350"/>
        <v>0</v>
      </c>
      <c r="V827" s="306">
        <f t="shared" ca="1" si="351"/>
        <v>1.0305172363494355</v>
      </c>
      <c r="W827" s="304">
        <f t="shared" ca="1" si="352"/>
        <v>41.289082107977357</v>
      </c>
      <c r="Y827" s="314" t="str">
        <f t="shared" ca="1" si="370"/>
        <v/>
      </c>
      <c r="Z827" s="315" t="str">
        <f t="shared" ca="1" si="371"/>
        <v/>
      </c>
      <c r="AA827" s="316" t="str">
        <f t="shared" ca="1" si="372"/>
        <v/>
      </c>
      <c r="AC827" s="310" t="e">
        <f t="shared" ca="1" si="373"/>
        <v>#N/A</v>
      </c>
      <c r="AD827" s="323" t="e">
        <f t="shared" ca="1" si="374"/>
        <v>#N/A</v>
      </c>
      <c r="AE827" s="324" t="e">
        <f t="shared" ca="1" si="353"/>
        <v>#N/A</v>
      </c>
      <c r="AG827" s="306">
        <f t="shared" ca="1" si="375"/>
        <v>2.4994705563719863</v>
      </c>
      <c r="AH827" s="304">
        <f t="shared" ca="1" si="376"/>
        <v>-7.2704095297088829</v>
      </c>
    </row>
    <row r="828" spans="1:34" x14ac:dyDescent="0.2">
      <c r="A828" s="347">
        <f t="shared" ca="1" si="354"/>
        <v>0.1</v>
      </c>
      <c r="B828" s="304">
        <f t="shared" ca="1" si="355"/>
        <v>50.400000000000375</v>
      </c>
      <c r="D828" s="306">
        <f t="shared" ca="1" si="356"/>
        <v>-0.65586289067770209</v>
      </c>
      <c r="E828" s="307">
        <f t="shared" ca="1" si="357"/>
        <v>-2.5342850541206285</v>
      </c>
      <c r="F828" s="304">
        <f t="shared" ca="1" si="358"/>
        <v>2.6177770850298367</v>
      </c>
      <c r="G828" s="306">
        <f t="shared" ca="1" si="359"/>
        <v>13.901728970865456</v>
      </c>
      <c r="H828" s="307">
        <f t="shared" ca="1" si="360"/>
        <v>-155.19771005410439</v>
      </c>
      <c r="I828" s="304">
        <f t="shared" ca="1" si="361"/>
        <v>155.81908507759007</v>
      </c>
      <c r="J828" s="306">
        <f t="shared" ca="1" si="362"/>
        <v>1304.0761671662933</v>
      </c>
      <c r="K828" s="307">
        <f t="shared" ca="1" si="363"/>
        <v>1708.9999049891153</v>
      </c>
      <c r="L828" s="304">
        <f t="shared" ca="1" si="348"/>
        <v>2149.7198247734368</v>
      </c>
      <c r="M828" s="306">
        <f t="shared" ca="1" si="364"/>
        <v>-1.4814604307071089</v>
      </c>
      <c r="N828" s="304">
        <f t="shared" ca="1" si="365"/>
        <v>-84.881430195150486</v>
      </c>
      <c r="P828" s="310">
        <f t="shared" ca="1" si="366"/>
        <v>23</v>
      </c>
      <c r="Q828" s="304">
        <f t="shared" ca="1" si="367"/>
        <v>0</v>
      </c>
      <c r="R828" s="306">
        <f t="shared" ca="1" si="368"/>
        <v>0</v>
      </c>
      <c r="S828" s="307">
        <f t="shared" ca="1" si="369"/>
        <v>5.6519999999999806</v>
      </c>
      <c r="T828" s="304">
        <f t="shared" ca="1" si="349"/>
        <v>55.446119999999816</v>
      </c>
      <c r="U828" s="311">
        <f t="shared" ca="1" si="350"/>
        <v>0</v>
      </c>
      <c r="V828" s="306">
        <f t="shared" ca="1" si="351"/>
        <v>1.032128389813062</v>
      </c>
      <c r="W828" s="304">
        <f t="shared" ca="1" si="352"/>
        <v>41.484808325928618</v>
      </c>
      <c r="Y828" s="314" t="str">
        <f t="shared" ca="1" si="370"/>
        <v/>
      </c>
      <c r="Z828" s="315" t="str">
        <f t="shared" ca="1" si="371"/>
        <v/>
      </c>
      <c r="AA828" s="316" t="str">
        <f t="shared" ca="1" si="372"/>
        <v/>
      </c>
      <c r="AC828" s="310" t="e">
        <f t="shared" ca="1" si="373"/>
        <v>#N/A</v>
      </c>
      <c r="AD828" s="323" t="e">
        <f t="shared" ca="1" si="374"/>
        <v>#N/A</v>
      </c>
      <c r="AE828" s="324" t="e">
        <f t="shared" ca="1" si="353"/>
        <v>#N/A</v>
      </c>
      <c r="AG828" s="306">
        <f t="shared" ca="1" si="375"/>
        <v>2.4651672116865226</v>
      </c>
      <c r="AH828" s="304">
        <f t="shared" ca="1" si="376"/>
        <v>-7.3052162257568112</v>
      </c>
    </row>
    <row r="829" spans="1:34" x14ac:dyDescent="0.2">
      <c r="A829" s="347">
        <f t="shared" ca="1" si="354"/>
        <v>0.1</v>
      </c>
      <c r="B829" s="304">
        <f t="shared" ca="1" si="355"/>
        <v>50.500000000000377</v>
      </c>
      <c r="D829" s="306">
        <f t="shared" ca="1" si="356"/>
        <v>-0.65483985235208853</v>
      </c>
      <c r="E829" s="307">
        <f t="shared" ca="1" si="357"/>
        <v>-2.4994240457282588</v>
      </c>
      <c r="F829" s="304">
        <f t="shared" ca="1" si="358"/>
        <v>2.5837832325087029</v>
      </c>
      <c r="G829" s="306">
        <f t="shared" ca="1" si="359"/>
        <v>13.836244985630247</v>
      </c>
      <c r="H829" s="307">
        <f t="shared" ca="1" si="360"/>
        <v>-155.44765245867723</v>
      </c>
      <c r="I829" s="304">
        <f t="shared" ca="1" si="361"/>
        <v>156.06221301204235</v>
      </c>
      <c r="J829" s="306">
        <f t="shared" ca="1" si="362"/>
        <v>1305.4630658641181</v>
      </c>
      <c r="K829" s="307">
        <f t="shared" ca="1" si="363"/>
        <v>1693.4676368634762</v>
      </c>
      <c r="L829" s="304">
        <f t="shared" ca="1" si="348"/>
        <v>2138.2391010921369</v>
      </c>
      <c r="M829" s="306">
        <f t="shared" ca="1" si="364"/>
        <v>-1.4820212454685175</v>
      </c>
      <c r="N829" s="304">
        <f t="shared" ca="1" si="365"/>
        <v>-84.913562514067834</v>
      </c>
      <c r="P829" s="310">
        <f t="shared" ca="1" si="366"/>
        <v>23</v>
      </c>
      <c r="Q829" s="304">
        <f t="shared" ca="1" si="367"/>
        <v>0</v>
      </c>
      <c r="R829" s="306">
        <f t="shared" ca="1" si="368"/>
        <v>0</v>
      </c>
      <c r="S829" s="307">
        <f t="shared" ca="1" si="369"/>
        <v>5.6519999999999806</v>
      </c>
      <c r="T829" s="304">
        <f t="shared" ca="1" si="349"/>
        <v>55.446119999999816</v>
      </c>
      <c r="U829" s="311">
        <f t="shared" ca="1" si="350"/>
        <v>0</v>
      </c>
      <c r="V829" s="306">
        <f t="shared" ca="1" si="351"/>
        <v>1.0337444672392915</v>
      </c>
      <c r="W829" s="304">
        <f t="shared" ca="1" si="352"/>
        <v>41.679527237659528</v>
      </c>
      <c r="Y829" s="314" t="str">
        <f t="shared" ca="1" si="370"/>
        <v/>
      </c>
      <c r="Z829" s="315" t="str">
        <f t="shared" ca="1" si="371"/>
        <v/>
      </c>
      <c r="AA829" s="316" t="str">
        <f t="shared" ca="1" si="372"/>
        <v/>
      </c>
      <c r="AC829" s="310" t="e">
        <f t="shared" ca="1" si="373"/>
        <v>#N/A</v>
      </c>
      <c r="AD829" s="323" t="e">
        <f t="shared" ca="1" si="374"/>
        <v>#N/A</v>
      </c>
      <c r="AE829" s="324" t="e">
        <f t="shared" ca="1" si="353"/>
        <v>#N/A</v>
      </c>
      <c r="AG829" s="306">
        <f t="shared" ca="1" si="375"/>
        <v>2.4310339264015486</v>
      </c>
      <c r="AH829" s="304">
        <f t="shared" ca="1" si="376"/>
        <v>-7.3398457759958884</v>
      </c>
    </row>
    <row r="830" spans="1:34" x14ac:dyDescent="0.2">
      <c r="A830" s="347">
        <f t="shared" ca="1" si="354"/>
        <v>0.1</v>
      </c>
      <c r="B830" s="304">
        <f t="shared" ca="1" si="355"/>
        <v>50.600000000000378</v>
      </c>
      <c r="D830" s="306">
        <f t="shared" ca="1" si="356"/>
        <v>-0.65379427455779671</v>
      </c>
      <c r="E830" s="307">
        <f t="shared" ca="1" si="357"/>
        <v>-2.4647422890760433</v>
      </c>
      <c r="F830" s="304">
        <f t="shared" ca="1" si="358"/>
        <v>2.5499806871826243</v>
      </c>
      <c r="G830" s="306">
        <f t="shared" ca="1" si="359"/>
        <v>13.770865558174467</v>
      </c>
      <c r="H830" s="307">
        <f t="shared" ca="1" si="360"/>
        <v>-155.69412668758483</v>
      </c>
      <c r="I830" s="304">
        <f t="shared" ca="1" si="361"/>
        <v>156.30194440003308</v>
      </c>
      <c r="J830" s="306">
        <f t="shared" ca="1" si="362"/>
        <v>1306.8434213913083</v>
      </c>
      <c r="K830" s="307">
        <f t="shared" ca="1" si="363"/>
        <v>1677.9105479061632</v>
      </c>
      <c r="L830" s="304">
        <f t="shared" ca="1" si="348"/>
        <v>2126.7871390453024</v>
      </c>
      <c r="M830" s="306">
        <f t="shared" ca="1" si="364"/>
        <v>-1.482577694167208</v>
      </c>
      <c r="N830" s="304">
        <f t="shared" ca="1" si="365"/>
        <v>-84.94544467601834</v>
      </c>
      <c r="P830" s="310">
        <f t="shared" ca="1" si="366"/>
        <v>23</v>
      </c>
      <c r="Q830" s="304">
        <f t="shared" ca="1" si="367"/>
        <v>0</v>
      </c>
      <c r="R830" s="306">
        <f t="shared" ca="1" si="368"/>
        <v>0</v>
      </c>
      <c r="S830" s="307">
        <f t="shared" ca="1" si="369"/>
        <v>5.6519999999999806</v>
      </c>
      <c r="T830" s="304">
        <f t="shared" ca="1" si="349"/>
        <v>55.446119999999816</v>
      </c>
      <c r="U830" s="311">
        <f t="shared" ca="1" si="350"/>
        <v>0</v>
      </c>
      <c r="V830" s="306">
        <f t="shared" ca="1" si="351"/>
        <v>1.0353654485848427</v>
      </c>
      <c r="W830" s="304">
        <f t="shared" ca="1" si="352"/>
        <v>41.873232954630211</v>
      </c>
      <c r="Y830" s="314" t="str">
        <f t="shared" ca="1" si="370"/>
        <v/>
      </c>
      <c r="Z830" s="315" t="str">
        <f t="shared" ca="1" si="371"/>
        <v/>
      </c>
      <c r="AA830" s="316" t="str">
        <f t="shared" ca="1" si="372"/>
        <v/>
      </c>
      <c r="AC830" s="310" t="e">
        <f t="shared" ca="1" si="373"/>
        <v>#N/A</v>
      </c>
      <c r="AD830" s="323" t="e">
        <f t="shared" ca="1" si="374"/>
        <v>#N/A</v>
      </c>
      <c r="AE830" s="324" t="e">
        <f t="shared" ca="1" si="353"/>
        <v>#N/A</v>
      </c>
      <c r="AG830" s="306">
        <f t="shared" ca="1" si="375"/>
        <v>2.397071897030238</v>
      </c>
      <c r="AH830" s="304">
        <f t="shared" ca="1" si="376"/>
        <v>-7.3742971050353274</v>
      </c>
    </row>
    <row r="831" spans="1:34" x14ac:dyDescent="0.2">
      <c r="A831" s="347">
        <f t="shared" ca="1" si="354"/>
        <v>0.1</v>
      </c>
      <c r="B831" s="304">
        <f t="shared" ca="1" si="355"/>
        <v>50.700000000000379</v>
      </c>
      <c r="D831" s="306">
        <f t="shared" ca="1" si="356"/>
        <v>-0.65272642911915413</v>
      </c>
      <c r="E831" s="307">
        <f t="shared" ca="1" si="357"/>
        <v>-2.4302408324807994</v>
      </c>
      <c r="F831" s="304">
        <f t="shared" ca="1" si="358"/>
        <v>2.5163708580270141</v>
      </c>
      <c r="G831" s="306">
        <f t="shared" ca="1" si="359"/>
        <v>13.705592915262551</v>
      </c>
      <c r="H831" s="307">
        <f t="shared" ca="1" si="360"/>
        <v>-155.93715077083291</v>
      </c>
      <c r="I831" s="304">
        <f t="shared" ca="1" si="361"/>
        <v>156.53829648902013</v>
      </c>
      <c r="J831" s="306">
        <f t="shared" ca="1" si="362"/>
        <v>1308.2172443149802</v>
      </c>
      <c r="K831" s="307">
        <f t="shared" ca="1" si="363"/>
        <v>1662.3289840332423</v>
      </c>
      <c r="L831" s="304">
        <f t="shared" ca="1" si="348"/>
        <v>2115.365218935036</v>
      </c>
      <c r="M831" s="306">
        <f t="shared" ca="1" si="364"/>
        <v>-1.4831298291745012</v>
      </c>
      <c r="N831" s="304">
        <f t="shared" ca="1" si="365"/>
        <v>-84.977079681657671</v>
      </c>
      <c r="P831" s="310">
        <f t="shared" ca="1" si="366"/>
        <v>23</v>
      </c>
      <c r="Q831" s="304">
        <f t="shared" ca="1" si="367"/>
        <v>0</v>
      </c>
      <c r="R831" s="306">
        <f t="shared" ca="1" si="368"/>
        <v>0</v>
      </c>
      <c r="S831" s="307">
        <f t="shared" ca="1" si="369"/>
        <v>5.6519999999999806</v>
      </c>
      <c r="T831" s="304">
        <f t="shared" ca="1" si="349"/>
        <v>55.446119999999816</v>
      </c>
      <c r="U831" s="311">
        <f t="shared" ca="1" si="350"/>
        <v>0</v>
      </c>
      <c r="V831" s="306">
        <f t="shared" ca="1" si="351"/>
        <v>1.0369913138664206</v>
      </c>
      <c r="W831" s="304">
        <f t="shared" ca="1" si="352"/>
        <v>42.065919776727881</v>
      </c>
      <c r="Y831" s="314" t="str">
        <f t="shared" ca="1" si="370"/>
        <v/>
      </c>
      <c r="Z831" s="315" t="str">
        <f t="shared" ca="1" si="371"/>
        <v/>
      </c>
      <c r="AA831" s="316" t="str">
        <f t="shared" ca="1" si="372"/>
        <v/>
      </c>
      <c r="AC831" s="310" t="e">
        <f t="shared" ca="1" si="373"/>
        <v>#N/A</v>
      </c>
      <c r="AD831" s="323" t="e">
        <f t="shared" ca="1" si="374"/>
        <v>#N/A</v>
      </c>
      <c r="AE831" s="324" t="e">
        <f t="shared" ca="1" si="353"/>
        <v>#N/A</v>
      </c>
      <c r="AG831" s="306">
        <f t="shared" ca="1" si="375"/>
        <v>2.3632822839781751</v>
      </c>
      <c r="AH831" s="304">
        <f t="shared" ca="1" si="376"/>
        <v>-7.408569171024479</v>
      </c>
    </row>
    <row r="832" spans="1:34" x14ac:dyDescent="0.2">
      <c r="A832" s="347">
        <f t="shared" ca="1" si="354"/>
        <v>0.1</v>
      </c>
      <c r="B832" s="304">
        <f t="shared" ca="1" si="355"/>
        <v>50.800000000000381</v>
      </c>
      <c r="D832" s="306">
        <f t="shared" ca="1" si="356"/>
        <v>-0.65163658789361367</v>
      </c>
      <c r="E832" s="307">
        <f t="shared" ca="1" si="357"/>
        <v>-2.3959206907422637</v>
      </c>
      <c r="F832" s="304">
        <f t="shared" ca="1" si="358"/>
        <v>2.4829551343124421</v>
      </c>
      <c r="G832" s="306">
        <f t="shared" ca="1" si="359"/>
        <v>13.64042925647319</v>
      </c>
      <c r="H832" s="307">
        <f t="shared" ca="1" si="360"/>
        <v>-156.17674283990715</v>
      </c>
      <c r="I832" s="304">
        <f t="shared" ca="1" si="361"/>
        <v>156.77128663879537</v>
      </c>
      <c r="J832" s="306">
        <f t="shared" ca="1" si="362"/>
        <v>1309.5845454235671</v>
      </c>
      <c r="K832" s="307">
        <f t="shared" ca="1" si="363"/>
        <v>1646.7232893527053</v>
      </c>
      <c r="L832" s="304">
        <f t="shared" ca="1" si="348"/>
        <v>2103.9746370402959</v>
      </c>
      <c r="M832" s="306">
        <f t="shared" ca="1" si="364"/>
        <v>-1.4836777019638769</v>
      </c>
      <c r="N832" s="304">
        <f t="shared" ca="1" si="365"/>
        <v>-85.008470480198966</v>
      </c>
      <c r="P832" s="310">
        <f t="shared" ca="1" si="366"/>
        <v>23</v>
      </c>
      <c r="Q832" s="304">
        <f t="shared" ca="1" si="367"/>
        <v>0</v>
      </c>
      <c r="R832" s="306">
        <f t="shared" ca="1" si="368"/>
        <v>0</v>
      </c>
      <c r="S832" s="307">
        <f t="shared" ca="1" si="369"/>
        <v>5.6519999999999806</v>
      </c>
      <c r="T832" s="304">
        <f t="shared" ca="1" si="349"/>
        <v>55.446119999999816</v>
      </c>
      <c r="U832" s="311">
        <f t="shared" ca="1" si="350"/>
        <v>0</v>
      </c>
      <c r="V832" s="306">
        <f t="shared" ca="1" si="351"/>
        <v>1.0386220431616759</v>
      </c>
      <c r="W832" s="304">
        <f t="shared" ca="1" si="352"/>
        <v>42.257582191094286</v>
      </c>
      <c r="Y832" s="314" t="str">
        <f t="shared" ca="1" si="370"/>
        <v/>
      </c>
      <c r="Z832" s="315" t="str">
        <f t="shared" ca="1" si="371"/>
        <v/>
      </c>
      <c r="AA832" s="316" t="str">
        <f t="shared" ca="1" si="372"/>
        <v/>
      </c>
      <c r="AC832" s="310" t="e">
        <f t="shared" ca="1" si="373"/>
        <v>#N/A</v>
      </c>
      <c r="AD832" s="323" t="e">
        <f t="shared" ca="1" si="374"/>
        <v>#N/A</v>
      </c>
      <c r="AE832" s="324" t="e">
        <f t="shared" ca="1" si="353"/>
        <v>#N/A</v>
      </c>
      <c r="AG832" s="306">
        <f t="shared" ca="1" si="375"/>
        <v>2.3296662118106894</v>
      </c>
      <c r="AH832" s="304">
        <f t="shared" ca="1" si="376"/>
        <v>-7.442660965450818</v>
      </c>
    </row>
    <row r="833" spans="1:34" x14ac:dyDescent="0.2">
      <c r="A833" s="347">
        <f t="shared" ca="1" si="354"/>
        <v>0.1</v>
      </c>
      <c r="B833" s="304">
        <f t="shared" ca="1" si="355"/>
        <v>50.900000000000382</v>
      </c>
      <c r="D833" s="306">
        <f t="shared" ca="1" si="356"/>
        <v>-0.65052502272365142</v>
      </c>
      <c r="E833" s="307">
        <f t="shared" ca="1" si="357"/>
        <v>-2.3617828453512448</v>
      </c>
      <c r="F833" s="304">
        <f t="shared" ca="1" si="358"/>
        <v>2.4497348864285353</v>
      </c>
      <c r="G833" s="306">
        <f t="shared" ca="1" si="359"/>
        <v>13.575376754200825</v>
      </c>
      <c r="H833" s="307">
        <f t="shared" ca="1" si="360"/>
        <v>-156.41292112444228</v>
      </c>
      <c r="I833" s="304">
        <f t="shared" ca="1" si="361"/>
        <v>157.00093231793082</v>
      </c>
      <c r="J833" s="306">
        <f t="shared" ca="1" si="362"/>
        <v>1310.9453357241007</v>
      </c>
      <c r="K833" s="307">
        <f t="shared" ca="1" si="363"/>
        <v>1631.0938061544878</v>
      </c>
      <c r="L833" s="304">
        <f t="shared" ca="1" si="348"/>
        <v>2092.6167058810147</v>
      </c>
      <c r="M833" s="306">
        <f t="shared" ca="1" si="364"/>
        <v>-1.4842213631299201</v>
      </c>
      <c r="N833" s="304">
        <f t="shared" ca="1" si="365"/>
        <v>-85.039619970498393</v>
      </c>
      <c r="P833" s="310">
        <f t="shared" ca="1" si="366"/>
        <v>23</v>
      </c>
      <c r="Q833" s="304">
        <f t="shared" ca="1" si="367"/>
        <v>0</v>
      </c>
      <c r="R833" s="306">
        <f t="shared" ca="1" si="368"/>
        <v>0</v>
      </c>
      <c r="S833" s="307">
        <f t="shared" ca="1" si="369"/>
        <v>5.6519999999999806</v>
      </c>
      <c r="T833" s="304">
        <f t="shared" ca="1" si="349"/>
        <v>55.446119999999816</v>
      </c>
      <c r="U833" s="311">
        <f t="shared" ca="1" si="350"/>
        <v>0</v>
      </c>
      <c r="V833" s="306">
        <f t="shared" ca="1" si="351"/>
        <v>1.0402576166101458</v>
      </c>
      <c r="W833" s="304">
        <f t="shared" ca="1" si="352"/>
        <v>42.448214870923145</v>
      </c>
      <c r="Y833" s="314" t="str">
        <f t="shared" ca="1" si="370"/>
        <v/>
      </c>
      <c r="Z833" s="315" t="str">
        <f t="shared" ca="1" si="371"/>
        <v/>
      </c>
      <c r="AA833" s="316" t="str">
        <f t="shared" ca="1" si="372"/>
        <v/>
      </c>
      <c r="AC833" s="310" t="e">
        <f t="shared" ca="1" si="373"/>
        <v>#N/A</v>
      </c>
      <c r="AD833" s="323" t="e">
        <f t="shared" ca="1" si="374"/>
        <v>#N/A</v>
      </c>
      <c r="AE833" s="324" t="e">
        <f t="shared" ca="1" si="353"/>
        <v>#N/A</v>
      </c>
      <c r="AG833" s="306">
        <f t="shared" ca="1" si="375"/>
        <v>2.2962247695236773</v>
      </c>
      <c r="AH833" s="304">
        <f t="shared" ca="1" si="376"/>
        <v>-7.4765715129324892</v>
      </c>
    </row>
    <row r="834" spans="1:34" x14ac:dyDescent="0.2">
      <c r="A834" s="347">
        <f t="shared" ca="1" si="354"/>
        <v>0.1</v>
      </c>
      <c r="B834" s="304">
        <f t="shared" ca="1" si="355"/>
        <v>51.000000000000384</v>
      </c>
      <c r="D834" s="306">
        <f t="shared" ca="1" si="356"/>
        <v>-0.64939200538926867</v>
      </c>
      <c r="E834" s="307">
        <f t="shared" ca="1" si="357"/>
        <v>-2.3278282447031291</v>
      </c>
      <c r="F834" s="304">
        <f t="shared" ca="1" si="358"/>
        <v>2.4167114667459058</v>
      </c>
      <c r="G834" s="306">
        <f t="shared" ca="1" si="359"/>
        <v>13.510437553661898</v>
      </c>
      <c r="H834" s="307">
        <f t="shared" ca="1" si="360"/>
        <v>-156.6457039489126</v>
      </c>
      <c r="I834" s="304">
        <f t="shared" ca="1" si="361"/>
        <v>157.22725110025223</v>
      </c>
      <c r="J834" s="306">
        <f t="shared" ca="1" si="362"/>
        <v>1312.2996264394937</v>
      </c>
      <c r="K834" s="307">
        <f t="shared" ca="1" si="363"/>
        <v>1615.4408749008201</v>
      </c>
      <c r="L834" s="304">
        <f t="shared" ca="1" si="348"/>
        <v>2081.2927544806284</v>
      </c>
      <c r="M834" s="306">
        <f t="shared" ca="1" si="364"/>
        <v>-1.4847608624067956</v>
      </c>
      <c r="N834" s="304">
        <f t="shared" ca="1" si="365"/>
        <v>-85.070531002113725</v>
      </c>
      <c r="P834" s="310">
        <f t="shared" ca="1" si="366"/>
        <v>23</v>
      </c>
      <c r="Q834" s="304">
        <f t="shared" ca="1" si="367"/>
        <v>0</v>
      </c>
      <c r="R834" s="306">
        <f t="shared" ca="1" si="368"/>
        <v>0</v>
      </c>
      <c r="S834" s="307">
        <f t="shared" ca="1" si="369"/>
        <v>5.6519999999999806</v>
      </c>
      <c r="T834" s="304">
        <f t="shared" ca="1" si="349"/>
        <v>55.446119999999816</v>
      </c>
      <c r="U834" s="311">
        <f t="shared" ca="1" si="350"/>
        <v>0</v>
      </c>
      <c r="V834" s="306">
        <f t="shared" ca="1" si="351"/>
        <v>1.0418980144141903</v>
      </c>
      <c r="W834" s="304">
        <f t="shared" ca="1" si="352"/>
        <v>42.637812674229011</v>
      </c>
      <c r="Y834" s="314" t="str">
        <f t="shared" ca="1" si="370"/>
        <v/>
      </c>
      <c r="Z834" s="315" t="str">
        <f t="shared" ca="1" si="371"/>
        <v/>
      </c>
      <c r="AA834" s="316" t="str">
        <f t="shared" ca="1" si="372"/>
        <v/>
      </c>
      <c r="AC834" s="310">
        <f t="shared" ca="1" si="373"/>
        <v>51.000000000000384</v>
      </c>
      <c r="AD834" s="323">
        <f t="shared" ca="1" si="374"/>
        <v>1312.2996264394937</v>
      </c>
      <c r="AE834" s="324" t="e">
        <f t="shared" ca="1" si="353"/>
        <v>#N/A</v>
      </c>
      <c r="AG834" s="306">
        <f t="shared" ca="1" si="375"/>
        <v>2.2629590108179087</v>
      </c>
      <c r="AH834" s="304">
        <f t="shared" ca="1" si="376"/>
        <v>-7.510299871005536</v>
      </c>
    </row>
    <row r="835" spans="1:34" x14ac:dyDescent="0.2">
      <c r="A835" s="347">
        <f t="shared" ca="1" si="354"/>
        <v>0.1</v>
      </c>
      <c r="B835" s="304">
        <f t="shared" ca="1" si="355"/>
        <v>51.100000000000385</v>
      </c>
      <c r="D835" s="306">
        <f t="shared" ca="1" si="356"/>
        <v>-0.64823780756114135</v>
      </c>
      <c r="E835" s="307">
        <f t="shared" ca="1" si="357"/>
        <v>-2.2940578043164814</v>
      </c>
      <c r="F835" s="304">
        <f t="shared" ca="1" si="358"/>
        <v>2.383886210517824</v>
      </c>
      <c r="G835" s="306">
        <f t="shared" ca="1" si="359"/>
        <v>13.445613772905784</v>
      </c>
      <c r="H835" s="307">
        <f t="shared" ca="1" si="360"/>
        <v>-156.87510972934425</v>
      </c>
      <c r="I835" s="304">
        <f t="shared" ca="1" si="361"/>
        <v>157.45026066134014</v>
      </c>
      <c r="J835" s="306">
        <f t="shared" ca="1" si="362"/>
        <v>1313.6474290058222</v>
      </c>
      <c r="K835" s="307">
        <f t="shared" ca="1" si="363"/>
        <v>1599.7648342169073</v>
      </c>
      <c r="L835" s="304">
        <f t="shared" ca="1" si="348"/>
        <v>2070.0041286264759</v>
      </c>
      <c r="M835" s="306">
        <f t="shared" ca="1" si="364"/>
        <v>-1.4852962486862669</v>
      </c>
      <c r="N835" s="304">
        <f t="shared" ca="1" si="365"/>
        <v>-85.101206376336634</v>
      </c>
      <c r="P835" s="310">
        <f t="shared" ca="1" si="366"/>
        <v>23</v>
      </c>
      <c r="Q835" s="304">
        <f t="shared" ca="1" si="367"/>
        <v>0</v>
      </c>
      <c r="R835" s="306">
        <f t="shared" ca="1" si="368"/>
        <v>0</v>
      </c>
      <c r="S835" s="307">
        <f t="shared" ca="1" si="369"/>
        <v>5.6519999999999806</v>
      </c>
      <c r="T835" s="304">
        <f t="shared" ca="1" si="349"/>
        <v>55.446119999999816</v>
      </c>
      <c r="U835" s="311">
        <f t="shared" ca="1" si="350"/>
        <v>0</v>
      </c>
      <c r="V835" s="306">
        <f t="shared" ca="1" si="351"/>
        <v>1.0435432168399106</v>
      </c>
      <c r="W835" s="304">
        <f t="shared" ca="1" si="352"/>
        <v>42.826370642587264</v>
      </c>
      <c r="Y835" s="314" t="str">
        <f t="shared" ca="1" si="370"/>
        <v/>
      </c>
      <c r="Z835" s="315" t="str">
        <f t="shared" ca="1" si="371"/>
        <v/>
      </c>
      <c r="AA835" s="316" t="str">
        <f t="shared" ca="1" si="372"/>
        <v/>
      </c>
      <c r="AC835" s="310" t="e">
        <f t="shared" ca="1" si="373"/>
        <v>#N/A</v>
      </c>
      <c r="AD835" s="323" t="e">
        <f t="shared" ca="1" si="374"/>
        <v>#N/A</v>
      </c>
      <c r="AE835" s="324" t="e">
        <f t="shared" ca="1" si="353"/>
        <v>#N/A</v>
      </c>
      <c r="AG835" s="306">
        <f t="shared" ca="1" si="375"/>
        <v>2.2298699543765812</v>
      </c>
      <c r="AH835" s="304">
        <f t="shared" ca="1" si="376"/>
        <v>-7.5438451299060789</v>
      </c>
    </row>
    <row r="836" spans="1:34" x14ac:dyDescent="0.2">
      <c r="A836" s="347">
        <f t="shared" ca="1" si="354"/>
        <v>0.1</v>
      </c>
      <c r="B836" s="304">
        <f t="shared" ca="1" si="355"/>
        <v>51.200000000000387</v>
      </c>
      <c r="D836" s="306">
        <f t="shared" ca="1" si="356"/>
        <v>-0.64706270075438099</v>
      </c>
      <c r="E836" s="307">
        <f t="shared" ca="1" si="357"/>
        <v>-2.2604724070567999</v>
      </c>
      <c r="F836" s="304">
        <f t="shared" ca="1" si="358"/>
        <v>2.3512604368237722</v>
      </c>
      <c r="G836" s="306">
        <f t="shared" ca="1" si="359"/>
        <v>13.380907502830345</v>
      </c>
      <c r="H836" s="307">
        <f t="shared" ca="1" si="360"/>
        <v>-157.10115697004991</v>
      </c>
      <c r="I836" s="304">
        <f t="shared" ca="1" si="361"/>
        <v>157.66997877505901</v>
      </c>
      <c r="J836" s="306">
        <f t="shared" ca="1" si="362"/>
        <v>1314.9887550696089</v>
      </c>
      <c r="K836" s="307">
        <f t="shared" ca="1" si="363"/>
        <v>1584.0660208819377</v>
      </c>
      <c r="L836" s="304">
        <f t="shared" ref="L836:L899" ca="1" si="377">SQRT(pos_x^2+pos_z^2)</f>
        <v>2058.7521911274935</v>
      </c>
      <c r="M836" s="306">
        <f t="shared" ca="1" si="364"/>
        <v>-1.4858275700352683</v>
      </c>
      <c r="N836" s="304">
        <f t="shared" ca="1" si="365"/>
        <v>-85.131648847199614</v>
      </c>
      <c r="P836" s="310">
        <f t="shared" ca="1" si="366"/>
        <v>23</v>
      </c>
      <c r="Q836" s="304">
        <f t="shared" ca="1" si="367"/>
        <v>0</v>
      </c>
      <c r="R836" s="306">
        <f t="shared" ca="1" si="368"/>
        <v>0</v>
      </c>
      <c r="S836" s="307">
        <f t="shared" ca="1" si="369"/>
        <v>5.6519999999999806</v>
      </c>
      <c r="T836" s="304">
        <f t="shared" ref="T836:T899" ca="1" si="378">m*g</f>
        <v>55.446119999999816</v>
      </c>
      <c r="U836" s="311">
        <f t="shared" ref="U836:U899" ca="1" si="379">IF(pos_xz&lt;L_rampe,Poids*COS(Beta),0)</f>
        <v>0</v>
      </c>
      <c r="V836" s="306">
        <f t="shared" ref="V836:V899" ca="1" si="380">Rho_moyen*(20000-Alt_rampe-pos_z)/(20000+Alt_rampe+pos_z)</f>
        <v>1.0451932042180543</v>
      </c>
      <c r="W836" s="304">
        <f t="shared" ref="W836:W899" ca="1" si="381">1/2*Rho*Sref*Cx*vit_xz^2</f>
        <v>43.01388399984684</v>
      </c>
      <c r="Y836" s="314" t="str">
        <f t="shared" ca="1" si="370"/>
        <v/>
      </c>
      <c r="Z836" s="315" t="str">
        <f t="shared" ca="1" si="371"/>
        <v/>
      </c>
      <c r="AA836" s="316" t="str">
        <f t="shared" ca="1" si="372"/>
        <v/>
      </c>
      <c r="AC836" s="310" t="e">
        <f t="shared" ca="1" si="373"/>
        <v>#N/A</v>
      </c>
      <c r="AD836" s="323" t="e">
        <f t="shared" ca="1" si="374"/>
        <v>#N/A</v>
      </c>
      <c r="AE836" s="324" t="e">
        <f t="shared" ref="AE836:AE899" ca="1" si="382">IF(t&lt;T_para, pos_z, NA())</f>
        <v>#N/A</v>
      </c>
      <c r="AG836" s="306">
        <f t="shared" ca="1" si="375"/>
        <v>2.1969585841462376</v>
      </c>
      <c r="AH836" s="304">
        <f t="shared" ca="1" si="376"/>
        <v>-7.5772064123473832</v>
      </c>
    </row>
    <row r="837" spans="1:34" x14ac:dyDescent="0.2">
      <c r="A837" s="347">
        <f t="shared" ref="A837:A900" ca="1" si="383">IF(B836+0.01&lt;=T_ini+ROUNDUP(Temps_fin_propu,0), 0.01, IF(K836&gt;0, 0.1, 0.0001))</f>
        <v>0.1</v>
      </c>
      <c r="B837" s="304">
        <f t="shared" ref="B837:B900" ca="1" si="384">B836+pas</f>
        <v>51.300000000000388</v>
      </c>
      <c r="D837" s="306">
        <f t="shared" ref="D837:D900" ca="1" si="385">IF(AND(L836&lt;L_rampe,Poussee&lt;Poids*SIN(M836)),0,(-W836+Poussee)/m*COS(M836)-U836/m*SIN(M836))</f>
        <v>-0.64586695628295832</v>
      </c>
      <c r="E837" s="307">
        <f t="shared" ref="E837:E900" ca="1" si="386">IF(AND(L836&lt;L_rampe,Poussee&lt;Poids*SIN(M836)),0,(-W836+Poussee)/m*SIN(M836)+U836/m*COS(M836)-Poids/m)</f>
        <v>-2.2270729033651131</v>
      </c>
      <c r="F837" s="304">
        <f t="shared" ref="F837:F900" ca="1" si="387">SQRT(acc_x^2+acc_z^2)</f>
        <v>2.3188354495568086</v>
      </c>
      <c r="G837" s="306">
        <f t="shared" ref="G837:G900" ca="1" si="388">G836+acc_x*pas</f>
        <v>13.316320807202048</v>
      </c>
      <c r="H837" s="307">
        <f t="shared" ref="H837:H900" ca="1" si="389">H836+acc_z*pas</f>
        <v>-157.32386426038642</v>
      </c>
      <c r="I837" s="304">
        <f t="shared" ref="I837:I900" ca="1" si="390">SQRT(vit_x^2+vit_z^2)</f>
        <v>157.88642331011496</v>
      </c>
      <c r="J837" s="306">
        <f t="shared" ref="J837:J900" ca="1" si="391">J836+0.5*(vit_x+G836)*pas*(K836&gt;=0)</f>
        <v>1316.3236164851105</v>
      </c>
      <c r="K837" s="307">
        <f t="shared" ref="K837:K900" ca="1" si="392">K836+0.5*(vit_z+H836)*pas</f>
        <v>1568.3447698204159</v>
      </c>
      <c r="L837" s="304">
        <f t="shared" ca="1" si="377"/>
        <v>2047.538322068599</v>
      </c>
      <c r="M837" s="306">
        <f t="shared" ref="M837:M900" ca="1" si="393">IF(AND(L836&gt;L_rampe,G837&gt;0),ATAN2(G837,H837),$M$4)</f>
        <v>-1.4863548737130483</v>
      </c>
      <c r="N837" s="304">
        <f t="shared" ref="N837:N900" ca="1" si="394">DEGREES(Beta)</f>
        <v>-85.161861122458134</v>
      </c>
      <c r="P837" s="310">
        <f t="shared" ref="P837:P900" ca="1" si="395">MATCH(t-pas/2-T_ini,CdP_t)</f>
        <v>23</v>
      </c>
      <c r="Q837" s="304">
        <f t="shared" ref="Q837:Q900" ca="1" si="396">(INDEX(CdP,2,i_P+1)-INDEX(CdP,2,i_P+0))/(INDEX(CdP,1,i_P+1)-INDEX(CdP,1,i_P+0))*(t-pas/2-T_ini-INDEX(CdP,1,i_P+0))+INDEX(CdP,2,i_P+0)</f>
        <v>0</v>
      </c>
      <c r="R837" s="306">
        <f t="shared" ref="R837:R900" ca="1" si="397">Poussee/(g*ISP)</f>
        <v>0</v>
      </c>
      <c r="S837" s="307">
        <f t="shared" ref="S837:S900" ca="1" si="398">S836-Débit*pas</f>
        <v>5.6519999999999806</v>
      </c>
      <c r="T837" s="304">
        <f t="shared" ca="1" si="378"/>
        <v>55.446119999999816</v>
      </c>
      <c r="U837" s="311">
        <f t="shared" ca="1" si="379"/>
        <v>0</v>
      </c>
      <c r="V837" s="306">
        <f t="shared" ca="1" si="380"/>
        <v>1.0468479569449127</v>
      </c>
      <c r="W837" s="304">
        <f t="shared" ca="1" si="381"/>
        <v>43.200348150816339</v>
      </c>
      <c r="Y837" s="314" t="str">
        <f t="shared" ref="Y837:Y900" ca="1" si="399">IF(AND(pos_z&lt;=0,K836&gt;0),"Impact balistique","") &amp; IF(AND(H838&lt;0,vit_z&gt;=0),"Apogée","") &amp; IF(AND(Poussee=0,Q836&gt;0),"Fin de propulsion","") &amp; IF(AND(L838&gt;L_rampe,pos_xz&lt;=L_rampe),"Sortie de rampe","")</f>
        <v/>
      </c>
      <c r="Z837" s="315" t="str">
        <f t="shared" ref="Z837:Z900" ca="1" si="400">IF(ABS(t-T_para)&lt;pas/2,"Para","")</f>
        <v/>
      </c>
      <c r="AA837" s="316" t="str">
        <f t="shared" ref="AA837:AA900" ca="1" si="401">IF(ABS(t-T_satellite)&lt;pas/2,"Satellite","")</f>
        <v/>
      </c>
      <c r="AC837" s="310" t="e">
        <f t="shared" ref="AC837:AC900" ca="1" si="402">IF(ABS(t-ROUND(t,0))&lt;0.001,t,NA())</f>
        <v>#N/A</v>
      </c>
      <c r="AD837" s="323" t="e">
        <f t="shared" ref="AD837:AD900" ca="1" si="403">IF(ABS(t-ROUND(t,0))&lt;0.001,pos_x,NA())</f>
        <v>#N/A</v>
      </c>
      <c r="AE837" s="324" t="e">
        <f t="shared" ca="1" si="382"/>
        <v>#N/A</v>
      </c>
      <c r="AG837" s="306">
        <f t="shared" ref="AG837:AG900" ca="1" si="404">IF(AND(L836&lt;L_rampe,Poussee&lt;Poids*SIN(M836)),0,(-W836+Poussee)/m-Poids*SIN(M836)/m)</f>
        <v>2.1642258496208306</v>
      </c>
      <c r="AH837" s="304">
        <f t="shared" ref="AH837:AH900" ca="1" si="405">IF(AND(L836&lt;L_rampe,Poussee&lt;Poids*SIN(M836)), g*SIN(M836), (-W836+Poussee)/m)</f>
        <v>-7.6103828732921066</v>
      </c>
    </row>
    <row r="838" spans="1:34" x14ac:dyDescent="0.2">
      <c r="A838" s="347">
        <f t="shared" ca="1" si="383"/>
        <v>0.1</v>
      </c>
      <c r="B838" s="304">
        <f t="shared" ca="1" si="384"/>
        <v>51.400000000000389</v>
      </c>
      <c r="D838" s="306">
        <f t="shared" ca="1" si="385"/>
        <v>-0.64465084521475458</v>
      </c>
      <c r="E838" s="307">
        <f t="shared" ca="1" si="386"/>
        <v>-2.1938601114913387</v>
      </c>
      <c r="F838" s="304">
        <f t="shared" ca="1" si="387"/>
        <v>2.2866125384570264</v>
      </c>
      <c r="G838" s="306">
        <f t="shared" ca="1" si="388"/>
        <v>13.251855722680572</v>
      </c>
      <c r="H838" s="307">
        <f t="shared" ca="1" si="389"/>
        <v>-157.54325027153556</v>
      </c>
      <c r="I838" s="304">
        <f t="shared" ca="1" si="390"/>
        <v>158.09961222664157</v>
      </c>
      <c r="J838" s="306">
        <f t="shared" ca="1" si="391"/>
        <v>1317.6520253116046</v>
      </c>
      <c r="K838" s="307">
        <f t="shared" ca="1" si="392"/>
        <v>1552.6014140938198</v>
      </c>
      <c r="L838" s="304">
        <f t="shared" ca="1" si="377"/>
        <v>2036.363919061105</v>
      </c>
      <c r="M838" s="306">
        <f t="shared" ca="1" si="393"/>
        <v>-1.4868782061878907</v>
      </c>
      <c r="N838" s="304">
        <f t="shared" ca="1" si="394"/>
        <v>-85.191845864548739</v>
      </c>
      <c r="P838" s="310">
        <f t="shared" ca="1" si="395"/>
        <v>23</v>
      </c>
      <c r="Q838" s="304">
        <f t="shared" ca="1" si="396"/>
        <v>0</v>
      </c>
      <c r="R838" s="306">
        <f t="shared" ca="1" si="397"/>
        <v>0</v>
      </c>
      <c r="S838" s="307">
        <f t="shared" ca="1" si="398"/>
        <v>5.6519999999999806</v>
      </c>
      <c r="T838" s="304">
        <f t="shared" ca="1" si="378"/>
        <v>55.446119999999816</v>
      </c>
      <c r="U838" s="311">
        <f t="shared" ca="1" si="379"/>
        <v>0</v>
      </c>
      <c r="V838" s="306">
        <f t="shared" ca="1" si="380"/>
        <v>1.0485074554831975</v>
      </c>
      <c r="W838" s="304">
        <f t="shared" ca="1" si="381"/>
        <v>43.385758679923619</v>
      </c>
      <c r="Y838" s="314" t="str">
        <f t="shared" ca="1" si="399"/>
        <v/>
      </c>
      <c r="Z838" s="315" t="str">
        <f t="shared" ca="1" si="400"/>
        <v/>
      </c>
      <c r="AA838" s="316" t="str">
        <f t="shared" ca="1" si="401"/>
        <v/>
      </c>
      <c r="AC838" s="310" t="e">
        <f t="shared" ca="1" si="402"/>
        <v>#N/A</v>
      </c>
      <c r="AD838" s="323" t="e">
        <f t="shared" ca="1" si="403"/>
        <v>#N/A</v>
      </c>
      <c r="AE838" s="324" t="e">
        <f t="shared" ca="1" si="382"/>
        <v>#N/A</v>
      </c>
      <c r="AG838" s="306">
        <f t="shared" ca="1" si="404"/>
        <v>2.131672666128881</v>
      </c>
      <c r="AH838" s="304">
        <f t="shared" ca="1" si="405"/>
        <v>-7.6433736997198318</v>
      </c>
    </row>
    <row r="839" spans="1:34" x14ac:dyDescent="0.2">
      <c r="A839" s="347">
        <f t="shared" ca="1" si="383"/>
        <v>0.1</v>
      </c>
      <c r="B839" s="304">
        <f t="shared" ca="1" si="384"/>
        <v>51.500000000000391</v>
      </c>
      <c r="D839" s="306">
        <f t="shared" ca="1" si="385"/>
        <v>-0.64341463832726864</v>
      </c>
      <c r="E839" s="307">
        <f t="shared" ca="1" si="386"/>
        <v>-2.1608348177323711</v>
      </c>
      <c r="F839" s="304">
        <f t="shared" ca="1" si="387"/>
        <v>2.2545929801936091</v>
      </c>
      <c r="G839" s="306">
        <f t="shared" ca="1" si="388"/>
        <v>13.187514258847845</v>
      </c>
      <c r="H839" s="307">
        <f t="shared" ca="1" si="389"/>
        <v>-157.75933375330879</v>
      </c>
      <c r="I839" s="304">
        <f t="shared" ca="1" si="390"/>
        <v>158.30956357281511</v>
      </c>
      <c r="J839" s="306">
        <f t="shared" ca="1" si="391"/>
        <v>1318.9739938106809</v>
      </c>
      <c r="K839" s="307">
        <f t="shared" ca="1" si="392"/>
        <v>1536.8362848925776</v>
      </c>
      <c r="L839" s="304">
        <f t="shared" ca="1" si="377"/>
        <v>2025.230397488473</v>
      </c>
      <c r="M839" s="306">
        <f t="shared" ca="1" si="393"/>
        <v>-1.487397613153431</v>
      </c>
      <c r="N839" s="304">
        <f t="shared" ca="1" si="394"/>
        <v>-85.221605691523891</v>
      </c>
      <c r="P839" s="310">
        <f t="shared" ca="1" si="395"/>
        <v>23</v>
      </c>
      <c r="Q839" s="304">
        <f t="shared" ca="1" si="396"/>
        <v>0</v>
      </c>
      <c r="R839" s="306">
        <f t="shared" ca="1" si="397"/>
        <v>0</v>
      </c>
      <c r="S839" s="307">
        <f t="shared" ca="1" si="398"/>
        <v>5.6519999999999806</v>
      </c>
      <c r="T839" s="304">
        <f t="shared" ca="1" si="378"/>
        <v>55.446119999999816</v>
      </c>
      <c r="U839" s="311">
        <f t="shared" ca="1" si="379"/>
        <v>0</v>
      </c>
      <c r="V839" s="306">
        <f t="shared" ca="1" si="380"/>
        <v>1.0501716803629129</v>
      </c>
      <c r="W839" s="304">
        <f t="shared" ca="1" si="381"/>
        <v>43.570111349850698</v>
      </c>
      <c r="Y839" s="314" t="str">
        <f t="shared" ca="1" si="399"/>
        <v/>
      </c>
      <c r="Z839" s="315" t="str">
        <f t="shared" ca="1" si="400"/>
        <v/>
      </c>
      <c r="AA839" s="316" t="str">
        <f t="shared" ca="1" si="401"/>
        <v/>
      </c>
      <c r="AC839" s="310" t="e">
        <f t="shared" ca="1" si="402"/>
        <v>#N/A</v>
      </c>
      <c r="AD839" s="323" t="e">
        <f t="shared" ca="1" si="403"/>
        <v>#N/A</v>
      </c>
      <c r="AE839" s="324" t="e">
        <f t="shared" ca="1" si="382"/>
        <v>#N/A</v>
      </c>
      <c r="AG839" s="306">
        <f t="shared" ca="1" si="404"/>
        <v>2.0992999151237424</v>
      </c>
      <c r="AH839" s="304">
        <f t="shared" ca="1" si="405"/>
        <v>-7.6761781103899089</v>
      </c>
    </row>
    <row r="840" spans="1:34" x14ac:dyDescent="0.2">
      <c r="A840" s="347">
        <f t="shared" ca="1" si="383"/>
        <v>0.1</v>
      </c>
      <c r="B840" s="304">
        <f t="shared" ca="1" si="384"/>
        <v>51.600000000000392</v>
      </c>
      <c r="D840" s="306">
        <f t="shared" ca="1" si="385"/>
        <v>-0.64215860606396957</v>
      </c>
      <c r="E840" s="307">
        <f t="shared" ca="1" si="386"/>
        <v>-2.127997776674551</v>
      </c>
      <c r="F840" s="304">
        <f t="shared" ca="1" si="387"/>
        <v>2.2227780394978383</v>
      </c>
      <c r="G840" s="306">
        <f t="shared" ca="1" si="388"/>
        <v>13.123298398241447</v>
      </c>
      <c r="H840" s="307">
        <f t="shared" ca="1" si="389"/>
        <v>-157.97213353097624</v>
      </c>
      <c r="I840" s="304">
        <f t="shared" ca="1" si="390"/>
        <v>158.5162954814989</v>
      </c>
      <c r="J840" s="306">
        <f t="shared" ca="1" si="391"/>
        <v>1320.2895344435353</v>
      </c>
      <c r="K840" s="307">
        <f t="shared" ca="1" si="392"/>
        <v>1521.0497115283633</v>
      </c>
      <c r="L840" s="304">
        <f t="shared" ca="1" si="377"/>
        <v>2014.1391907466686</v>
      </c>
      <c r="M840" s="306">
        <f t="shared" ca="1" si="393"/>
        <v>-1.4879131395445753</v>
      </c>
      <c r="N840" s="304">
        <f t="shared" ca="1" si="394"/>
        <v>-85.251143177964082</v>
      </c>
      <c r="P840" s="310">
        <f t="shared" ca="1" si="395"/>
        <v>23</v>
      </c>
      <c r="Q840" s="304">
        <f t="shared" ca="1" si="396"/>
        <v>0</v>
      </c>
      <c r="R840" s="306">
        <f t="shared" ca="1" si="397"/>
        <v>0</v>
      </c>
      <c r="S840" s="307">
        <f t="shared" ca="1" si="398"/>
        <v>5.6519999999999806</v>
      </c>
      <c r="T840" s="304">
        <f t="shared" ca="1" si="378"/>
        <v>55.446119999999816</v>
      </c>
      <c r="U840" s="311">
        <f t="shared" ca="1" si="379"/>
        <v>0</v>
      </c>
      <c r="V840" s="306">
        <f t="shared" ca="1" si="380"/>
        <v>1.0518406121822093</v>
      </c>
      <c r="W840" s="304">
        <f t="shared" ca="1" si="381"/>
        <v>43.753402100143866</v>
      </c>
      <c r="Y840" s="314" t="str">
        <f t="shared" ca="1" si="399"/>
        <v/>
      </c>
      <c r="Z840" s="315" t="str">
        <f t="shared" ca="1" si="400"/>
        <v/>
      </c>
      <c r="AA840" s="316" t="str">
        <f t="shared" ca="1" si="401"/>
        <v/>
      </c>
      <c r="AC840" s="310" t="e">
        <f t="shared" ca="1" si="402"/>
        <v>#N/A</v>
      </c>
      <c r="AD840" s="323" t="e">
        <f t="shared" ca="1" si="403"/>
        <v>#N/A</v>
      </c>
      <c r="AE840" s="324" t="e">
        <f t="shared" ca="1" si="382"/>
        <v>#N/A</v>
      </c>
      <c r="AG840" s="306">
        <f t="shared" ca="1" si="404"/>
        <v>2.0671084444767143</v>
      </c>
      <c r="AH840" s="304">
        <f t="shared" ca="1" si="405"/>
        <v>-7.7087953555999373</v>
      </c>
    </row>
    <row r="841" spans="1:34" x14ac:dyDescent="0.2">
      <c r="A841" s="347">
        <f t="shared" ca="1" si="383"/>
        <v>0.1</v>
      </c>
      <c r="B841" s="304">
        <f t="shared" ca="1" si="384"/>
        <v>51.700000000000394</v>
      </c>
      <c r="D841" s="306">
        <f t="shared" ca="1" si="385"/>
        <v>-0.64088301849131191</v>
      </c>
      <c r="E841" s="307">
        <f t="shared" ca="1" si="386"/>
        <v>-2.0953497114405844</v>
      </c>
      <c r="F841" s="304">
        <f t="shared" ca="1" si="387"/>
        <v>2.1911689703499992</v>
      </c>
      <c r="G841" s="306">
        <f t="shared" ca="1" si="388"/>
        <v>13.059210096392317</v>
      </c>
      <c r="H841" s="307">
        <f t="shared" ca="1" si="389"/>
        <v>-158.18166850212029</v>
      </c>
      <c r="I841" s="304">
        <f t="shared" ca="1" si="390"/>
        <v>158.7198261669171</v>
      </c>
      <c r="J841" s="306">
        <f t="shared" ca="1" si="391"/>
        <v>1321.5986598682671</v>
      </c>
      <c r="K841" s="307">
        <f t="shared" ca="1" si="392"/>
        <v>1505.2420214267086</v>
      </c>
      <c r="L841" s="304">
        <f t="shared" ca="1" si="377"/>
        <v>2003.0917504783356</v>
      </c>
      <c r="M841" s="306">
        <f t="shared" ca="1" si="393"/>
        <v>-1.4884248295530342</v>
      </c>
      <c r="N841" s="304">
        <f t="shared" ca="1" si="394"/>
        <v>-85.280460855867787</v>
      </c>
      <c r="P841" s="310">
        <f t="shared" ca="1" si="395"/>
        <v>23</v>
      </c>
      <c r="Q841" s="304">
        <f t="shared" ca="1" si="396"/>
        <v>0</v>
      </c>
      <c r="R841" s="306">
        <f t="shared" ca="1" si="397"/>
        <v>0</v>
      </c>
      <c r="S841" s="307">
        <f t="shared" ca="1" si="398"/>
        <v>5.6519999999999806</v>
      </c>
      <c r="T841" s="304">
        <f t="shared" ca="1" si="378"/>
        <v>55.446119999999816</v>
      </c>
      <c r="U841" s="311">
        <f t="shared" ca="1" si="379"/>
        <v>0</v>
      </c>
      <c r="V841" s="306">
        <f t="shared" ca="1" si="380"/>
        <v>1.0535142316082255</v>
      </c>
      <c r="W841" s="304">
        <f t="shared" ca="1" si="381"/>
        <v>43.935627045800118</v>
      </c>
      <c r="Y841" s="314" t="str">
        <f t="shared" ca="1" si="399"/>
        <v/>
      </c>
      <c r="Z841" s="315" t="str">
        <f t="shared" ca="1" si="400"/>
        <v/>
      </c>
      <c r="AA841" s="316" t="str">
        <f t="shared" ca="1" si="401"/>
        <v/>
      </c>
      <c r="AC841" s="310" t="e">
        <f t="shared" ca="1" si="402"/>
        <v>#N/A</v>
      </c>
      <c r="AD841" s="323" t="e">
        <f t="shared" ca="1" si="403"/>
        <v>#N/A</v>
      </c>
      <c r="AE841" s="324" t="e">
        <f t="shared" ca="1" si="382"/>
        <v>#N/A</v>
      </c>
      <c r="AG841" s="306">
        <f t="shared" ca="1" si="404"/>
        <v>2.0350990687730839</v>
      </c>
      <c r="AH841" s="304">
        <f t="shared" ca="1" si="405"/>
        <v>-7.7412247169398469</v>
      </c>
    </row>
    <row r="842" spans="1:34" x14ac:dyDescent="0.2">
      <c r="A842" s="347">
        <f t="shared" ca="1" si="383"/>
        <v>0.1</v>
      </c>
      <c r="B842" s="304">
        <f t="shared" ca="1" si="384"/>
        <v>51.800000000000395</v>
      </c>
      <c r="D842" s="306">
        <f t="shared" ca="1" si="385"/>
        <v>-0.63958814525640695</v>
      </c>
      <c r="E842" s="307">
        <f t="shared" ca="1" si="386"/>
        <v>-2.0628913139406562</v>
      </c>
      <c r="F842" s="304">
        <f t="shared" ca="1" si="387"/>
        <v>2.1597670172230008</v>
      </c>
      <c r="G842" s="306">
        <f t="shared" ca="1" si="388"/>
        <v>12.995251281866675</v>
      </c>
      <c r="H842" s="307">
        <f t="shared" ca="1" si="389"/>
        <v>-158.38795763351436</v>
      </c>
      <c r="I842" s="304">
        <f t="shared" ca="1" si="390"/>
        <v>158.92017392135838</v>
      </c>
      <c r="J842" s="306">
        <f t="shared" ca="1" si="391"/>
        <v>1322.90138293718</v>
      </c>
      <c r="K842" s="307">
        <f t="shared" ca="1" si="392"/>
        <v>1489.4135401199269</v>
      </c>
      <c r="L842" s="304">
        <f t="shared" ca="1" si="377"/>
        <v>1992.0895467999617</v>
      </c>
      <c r="M842" s="306">
        <f t="shared" ca="1" si="393"/>
        <v>-1.4889327266424854</v>
      </c>
      <c r="N842" s="304">
        <f t="shared" ca="1" si="394"/>
        <v>-85.309561215520318</v>
      </c>
      <c r="P842" s="310">
        <f t="shared" ca="1" si="395"/>
        <v>23</v>
      </c>
      <c r="Q842" s="304">
        <f t="shared" ca="1" si="396"/>
        <v>0</v>
      </c>
      <c r="R842" s="306">
        <f t="shared" ca="1" si="397"/>
        <v>0</v>
      </c>
      <c r="S842" s="307">
        <f t="shared" ca="1" si="398"/>
        <v>5.6519999999999806</v>
      </c>
      <c r="T842" s="304">
        <f t="shared" ca="1" si="378"/>
        <v>55.446119999999816</v>
      </c>
      <c r="U842" s="311">
        <f t="shared" ca="1" si="379"/>
        <v>0</v>
      </c>
      <c r="V842" s="306">
        <f t="shared" ca="1" si="380"/>
        <v>1.0551925193779179</v>
      </c>
      <c r="W842" s="304">
        <f t="shared" ca="1" si="381"/>
        <v>44.116782475830661</v>
      </c>
      <c r="Y842" s="314" t="str">
        <f t="shared" ca="1" si="399"/>
        <v/>
      </c>
      <c r="Z842" s="315" t="str">
        <f t="shared" ca="1" si="400"/>
        <v/>
      </c>
      <c r="AA842" s="316" t="str">
        <f t="shared" ca="1" si="401"/>
        <v/>
      </c>
      <c r="AC842" s="310" t="e">
        <f t="shared" ca="1" si="402"/>
        <v>#N/A</v>
      </c>
      <c r="AD842" s="323" t="e">
        <f t="shared" ca="1" si="403"/>
        <v>#N/A</v>
      </c>
      <c r="AE842" s="324" t="e">
        <f t="shared" ca="1" si="382"/>
        <v>#N/A</v>
      </c>
      <c r="AG842" s="306">
        <f t="shared" ca="1" si="404"/>
        <v>2.0032725696109219</v>
      </c>
      <c r="AH842" s="304">
        <f t="shared" ca="1" si="405"/>
        <v>-7.7734655070418031</v>
      </c>
    </row>
    <row r="843" spans="1:34" x14ac:dyDescent="0.2">
      <c r="A843" s="347">
        <f t="shared" ca="1" si="383"/>
        <v>0.1</v>
      </c>
      <c r="B843" s="304">
        <f t="shared" ca="1" si="384"/>
        <v>51.900000000000396</v>
      </c>
      <c r="D843" s="306">
        <f t="shared" ca="1" si="385"/>
        <v>-0.63827425554534334</v>
      </c>
      <c r="E843" s="307">
        <f t="shared" ca="1" si="386"/>
        <v>-2.0306232451276474</v>
      </c>
      <c r="F843" s="304">
        <f t="shared" ca="1" si="387"/>
        <v>2.12857341638589</v>
      </c>
      <c r="G843" s="306">
        <f t="shared" ca="1" si="388"/>
        <v>12.931423856312142</v>
      </c>
      <c r="H843" s="307">
        <f t="shared" ca="1" si="389"/>
        <v>-158.59101995802712</v>
      </c>
      <c r="I843" s="304">
        <f t="shared" ca="1" si="390"/>
        <v>159.11735711190957</v>
      </c>
      <c r="J843" s="306">
        <f t="shared" ca="1" si="391"/>
        <v>1324.197716694089</v>
      </c>
      <c r="K843" s="307">
        <f t="shared" ca="1" si="392"/>
        <v>1473.5645912403497</v>
      </c>
      <c r="L843" s="304">
        <f t="shared" ca="1" si="377"/>
        <v>1981.1340685211533</v>
      </c>
      <c r="M843" s="306">
        <f t="shared" ca="1" si="393"/>
        <v>-1.4894368735633685</v>
      </c>
      <c r="N843" s="304">
        <f t="shared" ca="1" si="394"/>
        <v>-85.338446706341429</v>
      </c>
      <c r="P843" s="310">
        <f t="shared" ca="1" si="395"/>
        <v>23</v>
      </c>
      <c r="Q843" s="304">
        <f t="shared" ca="1" si="396"/>
        <v>0</v>
      </c>
      <c r="R843" s="306">
        <f t="shared" ca="1" si="397"/>
        <v>0</v>
      </c>
      <c r="S843" s="307">
        <f t="shared" ca="1" si="398"/>
        <v>5.6519999999999806</v>
      </c>
      <c r="T843" s="304">
        <f t="shared" ca="1" si="378"/>
        <v>55.446119999999816</v>
      </c>
      <c r="U843" s="311">
        <f t="shared" ca="1" si="379"/>
        <v>0</v>
      </c>
      <c r="V843" s="306">
        <f t="shared" ca="1" si="380"/>
        <v>1.056875456298878</v>
      </c>
      <c r="W843" s="304">
        <f t="shared" ca="1" si="381"/>
        <v>44.296864851802226</v>
      </c>
      <c r="Y843" s="314" t="str">
        <f t="shared" ca="1" si="399"/>
        <v/>
      </c>
      <c r="Z843" s="315" t="str">
        <f t="shared" ca="1" si="400"/>
        <v/>
      </c>
      <c r="AA843" s="316" t="str">
        <f t="shared" ca="1" si="401"/>
        <v/>
      </c>
      <c r="AC843" s="310" t="e">
        <f t="shared" ca="1" si="402"/>
        <v>#N/A</v>
      </c>
      <c r="AD843" s="323" t="e">
        <f t="shared" ca="1" si="403"/>
        <v>#N/A</v>
      </c>
      <c r="AE843" s="324" t="e">
        <f t="shared" ca="1" si="382"/>
        <v>#N/A</v>
      </c>
      <c r="AG843" s="306">
        <f t="shared" ca="1" si="404"/>
        <v>1.9716296959025561</v>
      </c>
      <c r="AH843" s="304">
        <f t="shared" ca="1" si="405"/>
        <v>-7.8055170693260463</v>
      </c>
    </row>
    <row r="844" spans="1:34" x14ac:dyDescent="0.2">
      <c r="A844" s="347">
        <f t="shared" ca="1" si="383"/>
        <v>0.1</v>
      </c>
      <c r="B844" s="304">
        <f t="shared" ca="1" si="384"/>
        <v>52.000000000000398</v>
      </c>
      <c r="D844" s="306">
        <f t="shared" ca="1" si="385"/>
        <v>-0.63694161804219773</v>
      </c>
      <c r="E844" s="307">
        <f t="shared" ca="1" si="386"/>
        <v>-1.9985461352563059</v>
      </c>
      <c r="F844" s="304">
        <f t="shared" ca="1" si="387"/>
        <v>2.0975893972706214</v>
      </c>
      <c r="G844" s="306">
        <f t="shared" ca="1" si="388"/>
        <v>12.867729694507922</v>
      </c>
      <c r="H844" s="307">
        <f t="shared" ca="1" si="389"/>
        <v>-158.79087457155276</v>
      </c>
      <c r="I844" s="304">
        <f t="shared" ca="1" si="390"/>
        <v>159.31139417721985</v>
      </c>
      <c r="J844" s="306">
        <f t="shared" ca="1" si="391"/>
        <v>1325.48767437163</v>
      </c>
      <c r="K844" s="307">
        <f t="shared" ca="1" si="392"/>
        <v>1457.6954965138707</v>
      </c>
      <c r="L844" s="304">
        <f t="shared" ca="1" si="377"/>
        <v>1970.226823355101</v>
      </c>
      <c r="M844" s="306">
        <f t="shared" ca="1" si="393"/>
        <v>-1.4899373123673303</v>
      </c>
      <c r="N844" s="304">
        <f t="shared" ca="1" si="394"/>
        <v>-85.367119737713026</v>
      </c>
      <c r="P844" s="310">
        <f t="shared" ca="1" si="395"/>
        <v>23</v>
      </c>
      <c r="Q844" s="304">
        <f t="shared" ca="1" si="396"/>
        <v>0</v>
      </c>
      <c r="R844" s="306">
        <f t="shared" ca="1" si="397"/>
        <v>0</v>
      </c>
      <c r="S844" s="307">
        <f t="shared" ca="1" si="398"/>
        <v>5.6519999999999806</v>
      </c>
      <c r="T844" s="304">
        <f t="shared" ca="1" si="378"/>
        <v>55.446119999999816</v>
      </c>
      <c r="U844" s="311">
        <f t="shared" ca="1" si="379"/>
        <v>0</v>
      </c>
      <c r="V844" s="306">
        <f t="shared" ca="1" si="380"/>
        <v>1.058563023250134</v>
      </c>
      <c r="W844" s="304">
        <f t="shared" ca="1" si="381"/>
        <v>44.475870806356895</v>
      </c>
      <c r="Y844" s="314" t="str">
        <f t="shared" ca="1" si="399"/>
        <v/>
      </c>
      <c r="Z844" s="315" t="str">
        <f t="shared" ca="1" si="400"/>
        <v/>
      </c>
      <c r="AA844" s="316" t="str">
        <f t="shared" ca="1" si="401"/>
        <v/>
      </c>
      <c r="AC844" s="310">
        <f t="shared" ca="1" si="402"/>
        <v>52.000000000000398</v>
      </c>
      <c r="AD844" s="323">
        <f t="shared" ca="1" si="403"/>
        <v>1325.48767437163</v>
      </c>
      <c r="AE844" s="324" t="e">
        <f t="shared" ca="1" si="382"/>
        <v>#N/A</v>
      </c>
      <c r="AG844" s="306">
        <f t="shared" ca="1" si="404"/>
        <v>1.940171164178639</v>
      </c>
      <c r="AH844" s="304">
        <f t="shared" ca="1" si="405"/>
        <v>-7.8373787777428126</v>
      </c>
    </row>
    <row r="845" spans="1:34" x14ac:dyDescent="0.2">
      <c r="A845" s="347">
        <f t="shared" ca="1" si="383"/>
        <v>0.1</v>
      </c>
      <c r="B845" s="304">
        <f t="shared" ca="1" si="384"/>
        <v>52.100000000000399</v>
      </c>
      <c r="D845" s="306">
        <f t="shared" ca="1" si="385"/>
        <v>-0.63559050088868563</v>
      </c>
      <c r="E845" s="307">
        <f t="shared" ca="1" si="386"/>
        <v>-1.9666605841462452</v>
      </c>
      <c r="F845" s="304">
        <f t="shared" ca="1" si="387"/>
        <v>2.0668161839056665</v>
      </c>
      <c r="G845" s="306">
        <f t="shared" ca="1" si="388"/>
        <v>12.804170644419054</v>
      </c>
      <c r="H845" s="307">
        <f t="shared" ca="1" si="389"/>
        <v>-158.98754062996738</v>
      </c>
      <c r="I845" s="304">
        <f t="shared" ca="1" si="390"/>
        <v>159.50230362429545</v>
      </c>
      <c r="J845" s="306">
        <f t="shared" ca="1" si="391"/>
        <v>1326.7712693885762</v>
      </c>
      <c r="K845" s="307">
        <f t="shared" ca="1" si="392"/>
        <v>1441.8065757537947</v>
      </c>
      <c r="L845" s="304">
        <f t="shared" ca="1" si="377"/>
        <v>1959.3693381192472</v>
      </c>
      <c r="M845" s="306">
        <f t="shared" ca="1" si="393"/>
        <v>-1.490434084421324</v>
      </c>
      <c r="N845" s="304">
        <f t="shared" ca="1" si="394"/>
        <v>-85.395582679786898</v>
      </c>
      <c r="P845" s="310">
        <f t="shared" ca="1" si="395"/>
        <v>23</v>
      </c>
      <c r="Q845" s="304">
        <f t="shared" ca="1" si="396"/>
        <v>0</v>
      </c>
      <c r="R845" s="306">
        <f t="shared" ca="1" si="397"/>
        <v>0</v>
      </c>
      <c r="S845" s="307">
        <f t="shared" ca="1" si="398"/>
        <v>5.6519999999999806</v>
      </c>
      <c r="T845" s="304">
        <f t="shared" ca="1" si="378"/>
        <v>55.446119999999816</v>
      </c>
      <c r="U845" s="311">
        <f t="shared" ca="1" si="379"/>
        <v>0</v>
      </c>
      <c r="V845" s="306">
        <f t="shared" ca="1" si="380"/>
        <v>1.0602552011829436</v>
      </c>
      <c r="W845" s="304">
        <f t="shared" ca="1" si="381"/>
        <v>44.653797141711408</v>
      </c>
      <c r="Y845" s="314" t="str">
        <f t="shared" ca="1" si="399"/>
        <v/>
      </c>
      <c r="Z845" s="315" t="str">
        <f t="shared" ca="1" si="400"/>
        <v/>
      </c>
      <c r="AA845" s="316" t="str">
        <f t="shared" ca="1" si="401"/>
        <v/>
      </c>
      <c r="AC845" s="310" t="e">
        <f t="shared" ca="1" si="402"/>
        <v>#N/A</v>
      </c>
      <c r="AD845" s="323" t="e">
        <f t="shared" ca="1" si="403"/>
        <v>#N/A</v>
      </c>
      <c r="AE845" s="324" t="e">
        <f t="shared" ca="1" si="382"/>
        <v>#N/A</v>
      </c>
      <c r="AG845" s="306">
        <f t="shared" ca="1" si="404"/>
        <v>1.9088976588947313</v>
      </c>
      <c r="AH845" s="304">
        <f t="shared" ca="1" si="405"/>
        <v>-7.8690500365104468</v>
      </c>
    </row>
    <row r="846" spans="1:34" x14ac:dyDescent="0.2">
      <c r="A846" s="347">
        <f t="shared" ca="1" si="383"/>
        <v>0.1</v>
      </c>
      <c r="B846" s="304">
        <f t="shared" ca="1" si="384"/>
        <v>52.200000000000401</v>
      </c>
      <c r="D846" s="306">
        <f t="shared" ca="1" si="385"/>
        <v>-0.63422117164450165</v>
      </c>
      <c r="E846" s="307">
        <f t="shared" ca="1" si="386"/>
        <v>-1.9349671614486077</v>
      </c>
      <c r="F846" s="304">
        <f t="shared" ca="1" si="387"/>
        <v>2.0362549964202925</v>
      </c>
      <c r="G846" s="306">
        <f t="shared" ca="1" si="388"/>
        <v>12.740748527254604</v>
      </c>
      <c r="H846" s="307">
        <f t="shared" ca="1" si="389"/>
        <v>-159.18103734611225</v>
      </c>
      <c r="I846" s="304">
        <f t="shared" ca="1" si="390"/>
        <v>159.69010402532501</v>
      </c>
      <c r="J846" s="306">
        <f t="shared" ca="1" si="391"/>
        <v>1328.04851534716</v>
      </c>
      <c r="K846" s="307">
        <f t="shared" ca="1" si="392"/>
        <v>1425.8981468549907</v>
      </c>
      <c r="L846" s="304">
        <f t="shared" ca="1" si="377"/>
        <v>1948.5631589251329</v>
      </c>
      <c r="M846" s="306">
        <f t="shared" ca="1" si="393"/>
        <v>-1.4909272304213756</v>
      </c>
      <c r="N846" s="304">
        <f t="shared" ca="1" si="394"/>
        <v>-85.423837864273622</v>
      </c>
      <c r="P846" s="310">
        <f t="shared" ca="1" si="395"/>
        <v>23</v>
      </c>
      <c r="Q846" s="304">
        <f t="shared" ca="1" si="396"/>
        <v>0</v>
      </c>
      <c r="R846" s="306">
        <f t="shared" ca="1" si="397"/>
        <v>0</v>
      </c>
      <c r="S846" s="307">
        <f t="shared" ca="1" si="398"/>
        <v>5.6519999999999806</v>
      </c>
      <c r="T846" s="304">
        <f t="shared" ca="1" si="378"/>
        <v>55.446119999999816</v>
      </c>
      <c r="U846" s="311">
        <f t="shared" ca="1" si="379"/>
        <v>0</v>
      </c>
      <c r="V846" s="306">
        <f t="shared" ca="1" si="380"/>
        <v>1.0619519711215695</v>
      </c>
      <c r="W846" s="304">
        <f t="shared" ca="1" si="381"/>
        <v>44.830640828136232</v>
      </c>
      <c r="Y846" s="314" t="str">
        <f t="shared" ca="1" si="399"/>
        <v/>
      </c>
      <c r="Z846" s="315" t="str">
        <f t="shared" ca="1" si="400"/>
        <v/>
      </c>
      <c r="AA846" s="316" t="str">
        <f t="shared" ca="1" si="401"/>
        <v/>
      </c>
      <c r="AC846" s="310" t="e">
        <f t="shared" ca="1" si="402"/>
        <v>#N/A</v>
      </c>
      <c r="AD846" s="323" t="e">
        <f t="shared" ca="1" si="403"/>
        <v>#N/A</v>
      </c>
      <c r="AE846" s="324" t="e">
        <f t="shared" ca="1" si="382"/>
        <v>#N/A</v>
      </c>
      <c r="AG846" s="306">
        <f t="shared" ca="1" si="404"/>
        <v>1.8778098327402564</v>
      </c>
      <c r="AH846" s="304">
        <f t="shared" ca="1" si="405"/>
        <v>-7.9005302798498871</v>
      </c>
    </row>
    <row r="847" spans="1:34" x14ac:dyDescent="0.2">
      <c r="A847" s="347">
        <f t="shared" ca="1" si="383"/>
        <v>0.1</v>
      </c>
      <c r="B847" s="304">
        <f t="shared" ca="1" si="384"/>
        <v>52.300000000000402</v>
      </c>
      <c r="D847" s="306">
        <f t="shared" ca="1" si="385"/>
        <v>-0.63283389724831518</v>
      </c>
      <c r="E847" s="307">
        <f t="shared" ca="1" si="386"/>
        <v>-1.9034664069163343</v>
      </c>
      <c r="F847" s="304">
        <f t="shared" ca="1" si="387"/>
        <v>2.0059070526236931</v>
      </c>
      <c r="G847" s="306">
        <f t="shared" ca="1" si="388"/>
        <v>12.677465137529772</v>
      </c>
      <c r="H847" s="307">
        <f t="shared" ca="1" si="389"/>
        <v>-159.37138398680389</v>
      </c>
      <c r="I847" s="304">
        <f t="shared" ca="1" si="390"/>
        <v>159.8748140145363</v>
      </c>
      <c r="J847" s="306">
        <f t="shared" ca="1" si="391"/>
        <v>1329.3194260303992</v>
      </c>
      <c r="K847" s="307">
        <f t="shared" ca="1" si="392"/>
        <v>1409.970525788345</v>
      </c>
      <c r="L847" s="304">
        <f t="shared" ca="1" si="377"/>
        <v>1937.8098513563325</v>
      </c>
      <c r="M847" s="306">
        <f t="shared" ca="1" si="393"/>
        <v>-1.4914167904060254</v>
      </c>
      <c r="N847" s="304">
        <f t="shared" ca="1" si="394"/>
        <v>-85.451887585212546</v>
      </c>
      <c r="P847" s="310">
        <f t="shared" ca="1" si="395"/>
        <v>23</v>
      </c>
      <c r="Q847" s="304">
        <f t="shared" ca="1" si="396"/>
        <v>0</v>
      </c>
      <c r="R847" s="306">
        <f t="shared" ca="1" si="397"/>
        <v>0</v>
      </c>
      <c r="S847" s="307">
        <f t="shared" ca="1" si="398"/>
        <v>5.6519999999999806</v>
      </c>
      <c r="T847" s="304">
        <f t="shared" ca="1" si="378"/>
        <v>55.446119999999816</v>
      </c>
      <c r="U847" s="311">
        <f t="shared" ca="1" si="379"/>
        <v>0</v>
      </c>
      <c r="V847" s="306">
        <f t="shared" ca="1" si="380"/>
        <v>1.0636533141640443</v>
      </c>
      <c r="W847" s="304">
        <f t="shared" ca="1" si="381"/>
        <v>45.006399002415755</v>
      </c>
      <c r="Y847" s="314" t="str">
        <f t="shared" ca="1" si="399"/>
        <v/>
      </c>
      <c r="Z847" s="315" t="str">
        <f t="shared" ca="1" si="400"/>
        <v/>
      </c>
      <c r="AA847" s="316" t="str">
        <f t="shared" ca="1" si="401"/>
        <v/>
      </c>
      <c r="AC847" s="310" t="e">
        <f t="shared" ca="1" si="402"/>
        <v>#N/A</v>
      </c>
      <c r="AD847" s="323" t="e">
        <f t="shared" ca="1" si="403"/>
        <v>#N/A</v>
      </c>
      <c r="AE847" s="324" t="e">
        <f t="shared" ca="1" si="382"/>
        <v>#N/A</v>
      </c>
      <c r="AG847" s="306">
        <f t="shared" ca="1" si="404"/>
        <v>1.8469083069498344</v>
      </c>
      <c r="AH847" s="304">
        <f t="shared" ca="1" si="405"/>
        <v>-7.9318189717155674</v>
      </c>
    </row>
    <row r="848" spans="1:34" x14ac:dyDescent="0.2">
      <c r="A848" s="347">
        <f t="shared" ca="1" si="383"/>
        <v>0.1</v>
      </c>
      <c r="B848" s="304">
        <f t="shared" ca="1" si="384"/>
        <v>52.400000000000404</v>
      </c>
      <c r="D848" s="306">
        <f t="shared" ca="1" si="385"/>
        <v>-0.63142894397944827</v>
      </c>
      <c r="E848" s="307">
        <f t="shared" ca="1" si="386"/>
        <v>-1.8721588306777974</v>
      </c>
      <c r="F848" s="304">
        <f t="shared" ca="1" si="387"/>
        <v>1.9757735696632495</v>
      </c>
      <c r="G848" s="306">
        <f t="shared" ca="1" si="388"/>
        <v>12.614322243131827</v>
      </c>
      <c r="H848" s="307">
        <f t="shared" ca="1" si="389"/>
        <v>-159.55859986987167</v>
      </c>
      <c r="I848" s="304">
        <f t="shared" ca="1" si="390"/>
        <v>160.05645228508405</v>
      </c>
      <c r="J848" s="306">
        <f t="shared" ca="1" si="391"/>
        <v>1330.5840153994322</v>
      </c>
      <c r="K848" s="307">
        <f t="shared" ca="1" si="392"/>
        <v>1394.0240265955113</v>
      </c>
      <c r="L848" s="304">
        <f t="shared" ca="1" si="377"/>
        <v>1927.1110006333415</v>
      </c>
      <c r="M848" s="306">
        <f t="shared" ca="1" si="393"/>
        <v>-1.4919028037694511</v>
      </c>
      <c r="N848" s="304">
        <f t="shared" ca="1" si="394"/>
        <v>-85.479734099723785</v>
      </c>
      <c r="P848" s="310">
        <f t="shared" ca="1" si="395"/>
        <v>23</v>
      </c>
      <c r="Q848" s="304">
        <f t="shared" ca="1" si="396"/>
        <v>0</v>
      </c>
      <c r="R848" s="306">
        <f t="shared" ca="1" si="397"/>
        <v>0</v>
      </c>
      <c r="S848" s="307">
        <f t="shared" ca="1" si="398"/>
        <v>5.6519999999999806</v>
      </c>
      <c r="T848" s="304">
        <f t="shared" ca="1" si="378"/>
        <v>55.446119999999816</v>
      </c>
      <c r="U848" s="311">
        <f t="shared" ca="1" si="379"/>
        <v>0</v>
      </c>
      <c r="V848" s="306">
        <f t="shared" ca="1" si="380"/>
        <v>1.0653592114829229</v>
      </c>
      <c r="W848" s="304">
        <f t="shared" ca="1" si="381"/>
        <v>45.181068966289828</v>
      </c>
      <c r="Y848" s="314" t="str">
        <f t="shared" ca="1" si="399"/>
        <v/>
      </c>
      <c r="Z848" s="315" t="str">
        <f t="shared" ca="1" si="400"/>
        <v/>
      </c>
      <c r="AA848" s="316" t="str">
        <f t="shared" ca="1" si="401"/>
        <v/>
      </c>
      <c r="AC848" s="310" t="e">
        <f t="shared" ca="1" si="402"/>
        <v>#N/A</v>
      </c>
      <c r="AD848" s="323" t="e">
        <f t="shared" ca="1" si="403"/>
        <v>#N/A</v>
      </c>
      <c r="AE848" s="324" t="e">
        <f t="shared" ca="1" si="382"/>
        <v>#N/A</v>
      </c>
      <c r="AG848" s="306">
        <f t="shared" ca="1" si="404"/>
        <v>1.816193671616781</v>
      </c>
      <c r="AH848" s="304">
        <f t="shared" ca="1" si="405"/>
        <v>-7.9629156055229844</v>
      </c>
    </row>
    <row r="849" spans="1:34" x14ac:dyDescent="0.2">
      <c r="A849" s="347">
        <f t="shared" ca="1" si="383"/>
        <v>0.1</v>
      </c>
      <c r="B849" s="304">
        <f t="shared" ca="1" si="384"/>
        <v>52.500000000000405</v>
      </c>
      <c r="D849" s="306">
        <f t="shared" ca="1" si="385"/>
        <v>-0.63000657742023081</v>
      </c>
      <c r="E849" s="307">
        <f t="shared" ca="1" si="386"/>
        <v>-1.8410449135137634</v>
      </c>
      <c r="F849" s="304">
        <f t="shared" ca="1" si="387"/>
        <v>1.945855765766737</v>
      </c>
      <c r="G849" s="306">
        <f t="shared" ca="1" si="388"/>
        <v>12.551321585389804</v>
      </c>
      <c r="H849" s="307">
        <f t="shared" ca="1" si="389"/>
        <v>-159.74270436122305</v>
      </c>
      <c r="I849" s="304">
        <f t="shared" ca="1" si="390"/>
        <v>160.23503758596925</v>
      </c>
      <c r="J849" s="306">
        <f t="shared" ca="1" si="391"/>
        <v>1331.8422975908584</v>
      </c>
      <c r="K849" s="307">
        <f t="shared" ca="1" si="392"/>
        <v>1378.0589613839566</v>
      </c>
      <c r="L849" s="304">
        <f t="shared" ca="1" si="377"/>
        <v>1916.4682117642142</v>
      </c>
      <c r="M849" s="306">
        <f t="shared" ca="1" si="393"/>
        <v>-1.4923853092742874</v>
      </c>
      <c r="N849" s="304">
        <f t="shared" ca="1" si="394"/>
        <v>-85.50737962874274</v>
      </c>
      <c r="P849" s="310">
        <f t="shared" ca="1" si="395"/>
        <v>23</v>
      </c>
      <c r="Q849" s="304">
        <f t="shared" ca="1" si="396"/>
        <v>0</v>
      </c>
      <c r="R849" s="306">
        <f t="shared" ca="1" si="397"/>
        <v>0</v>
      </c>
      <c r="S849" s="307">
        <f t="shared" ca="1" si="398"/>
        <v>5.6519999999999806</v>
      </c>
      <c r="T849" s="304">
        <f t="shared" ca="1" si="378"/>
        <v>55.446119999999816</v>
      </c>
      <c r="U849" s="311">
        <f t="shared" ca="1" si="379"/>
        <v>0</v>
      </c>
      <c r="V849" s="306">
        <f t="shared" ca="1" si="380"/>
        <v>1.0670696443260199</v>
      </c>
      <c r="W849" s="304">
        <f t="shared" ca="1" si="381"/>
        <v>45.354648184877618</v>
      </c>
      <c r="Y849" s="314" t="str">
        <f t="shared" ca="1" si="399"/>
        <v/>
      </c>
      <c r="Z849" s="315" t="str">
        <f t="shared" ca="1" si="400"/>
        <v/>
      </c>
      <c r="AA849" s="316" t="str">
        <f t="shared" ca="1" si="401"/>
        <v/>
      </c>
      <c r="AC849" s="310" t="e">
        <f t="shared" ca="1" si="402"/>
        <v>#N/A</v>
      </c>
      <c r="AD849" s="323" t="e">
        <f t="shared" ca="1" si="403"/>
        <v>#N/A</v>
      </c>
      <c r="AE849" s="324" t="e">
        <f t="shared" ca="1" si="382"/>
        <v>#N/A</v>
      </c>
      <c r="AG849" s="306">
        <f t="shared" ca="1" si="404"/>
        <v>1.785666486008755</v>
      </c>
      <c r="AH849" s="304">
        <f t="shared" ca="1" si="405"/>
        <v>-7.9938197038729628</v>
      </c>
    </row>
    <row r="850" spans="1:34" x14ac:dyDescent="0.2">
      <c r="A850" s="347">
        <f t="shared" ca="1" si="383"/>
        <v>0.1</v>
      </c>
      <c r="B850" s="304">
        <f t="shared" ca="1" si="384"/>
        <v>52.600000000000406</v>
      </c>
      <c r="D850" s="306">
        <f t="shared" ca="1" si="385"/>
        <v>-0.62856706241901428</v>
      </c>
      <c r="E850" s="307">
        <f t="shared" ca="1" si="386"/>
        <v>-1.8101251071375124</v>
      </c>
      <c r="F850" s="304">
        <f t="shared" ca="1" si="387"/>
        <v>1.9161548620734337</v>
      </c>
      <c r="G850" s="306">
        <f t="shared" ca="1" si="388"/>
        <v>12.488464879147902</v>
      </c>
      <c r="H850" s="307">
        <f t="shared" ca="1" si="389"/>
        <v>-159.92371687193679</v>
      </c>
      <c r="I850" s="304">
        <f t="shared" ca="1" si="390"/>
        <v>160.41058871899048</v>
      </c>
      <c r="J850" s="306">
        <f t="shared" ca="1" si="391"/>
        <v>1333.0942869140852</v>
      </c>
      <c r="K850" s="307">
        <f t="shared" ca="1" si="392"/>
        <v>1362.0756403222986</v>
      </c>
      <c r="L850" s="304">
        <f t="shared" ca="1" si="377"/>
        <v>1905.8831096797026</v>
      </c>
      <c r="M850" s="306">
        <f t="shared" ca="1" si="393"/>
        <v>-1.4928643450641432</v>
      </c>
      <c r="N850" s="304">
        <f t="shared" ca="1" si="394"/>
        <v>-85.534826357737202</v>
      </c>
      <c r="P850" s="310">
        <f t="shared" ca="1" si="395"/>
        <v>23</v>
      </c>
      <c r="Q850" s="304">
        <f t="shared" ca="1" si="396"/>
        <v>0</v>
      </c>
      <c r="R850" s="306">
        <f t="shared" ca="1" si="397"/>
        <v>0</v>
      </c>
      <c r="S850" s="307">
        <f t="shared" ca="1" si="398"/>
        <v>5.6519999999999806</v>
      </c>
      <c r="T850" s="304">
        <f t="shared" ca="1" si="378"/>
        <v>55.446119999999816</v>
      </c>
      <c r="U850" s="311">
        <f t="shared" ca="1" si="379"/>
        <v>0</v>
      </c>
      <c r="V850" s="306">
        <f t="shared" ca="1" si="380"/>
        <v>1.0687845940171345</v>
      </c>
      <c r="W850" s="304">
        <f t="shared" ca="1" si="381"/>
        <v>45.527134285084671</v>
      </c>
      <c r="Y850" s="314" t="str">
        <f t="shared" ca="1" si="399"/>
        <v/>
      </c>
      <c r="Z850" s="315" t="str">
        <f t="shared" ca="1" si="400"/>
        <v/>
      </c>
      <c r="AA850" s="316" t="str">
        <f t="shared" ca="1" si="401"/>
        <v/>
      </c>
      <c r="AC850" s="310" t="e">
        <f t="shared" ca="1" si="402"/>
        <v>#N/A</v>
      </c>
      <c r="AD850" s="323" t="e">
        <f t="shared" ca="1" si="403"/>
        <v>#N/A</v>
      </c>
      <c r="AE850" s="324" t="e">
        <f t="shared" ca="1" si="382"/>
        <v>#N/A</v>
      </c>
      <c r="AG850" s="306">
        <f t="shared" ca="1" si="404"/>
        <v>1.7553272788854688</v>
      </c>
      <c r="AH850" s="304">
        <f t="shared" ca="1" si="405"/>
        <v>-8.0245308182727833</v>
      </c>
    </row>
    <row r="851" spans="1:34" x14ac:dyDescent="0.2">
      <c r="A851" s="347">
        <f t="shared" ca="1" si="383"/>
        <v>0.1</v>
      </c>
      <c r="B851" s="304">
        <f t="shared" ca="1" si="384"/>
        <v>52.700000000000408</v>
      </c>
      <c r="D851" s="306">
        <f t="shared" ca="1" si="385"/>
        <v>-0.6271106630538813</v>
      </c>
      <c r="E851" s="307">
        <f t="shared" ca="1" si="386"/>
        <v>-1.779399834477946</v>
      </c>
      <c r="F851" s="304">
        <f t="shared" ca="1" si="387"/>
        <v>1.8866720845594818</v>
      </c>
      <c r="G851" s="306">
        <f t="shared" ca="1" si="388"/>
        <v>12.425753812842514</v>
      </c>
      <c r="H851" s="307">
        <f t="shared" ca="1" si="389"/>
        <v>-160.10165685538459</v>
      </c>
      <c r="I851" s="304">
        <f t="shared" ca="1" si="390"/>
        <v>160.58312453572663</v>
      </c>
      <c r="J851" s="306">
        <f t="shared" ca="1" si="391"/>
        <v>1334.3399978486848</v>
      </c>
      <c r="K851" s="307">
        <f t="shared" ca="1" si="392"/>
        <v>1346.0743716359325</v>
      </c>
      <c r="L851" s="304">
        <f t="shared" ca="1" si="377"/>
        <v>1895.3573393515796</v>
      </c>
      <c r="M851" s="306">
        <f t="shared" ca="1" si="393"/>
        <v>-1.493339948675829</v>
      </c>
      <c r="N851" s="304">
        <f t="shared" ca="1" si="394"/>
        <v>-85.562076437407967</v>
      </c>
      <c r="P851" s="310">
        <f t="shared" ca="1" si="395"/>
        <v>23</v>
      </c>
      <c r="Q851" s="304">
        <f t="shared" ca="1" si="396"/>
        <v>0</v>
      </c>
      <c r="R851" s="306">
        <f t="shared" ca="1" si="397"/>
        <v>0</v>
      </c>
      <c r="S851" s="307">
        <f t="shared" ca="1" si="398"/>
        <v>5.6519999999999806</v>
      </c>
      <c r="T851" s="304">
        <f t="shared" ca="1" si="378"/>
        <v>55.446119999999816</v>
      </c>
      <c r="U851" s="311">
        <f t="shared" ca="1" si="379"/>
        <v>0</v>
      </c>
      <c r="V851" s="306">
        <f t="shared" ca="1" si="380"/>
        <v>1.0705040419567653</v>
      </c>
      <c r="W851" s="304">
        <f t="shared" ca="1" si="381"/>
        <v>45.698525053993492</v>
      </c>
      <c r="Y851" s="314" t="str">
        <f t="shared" ca="1" si="399"/>
        <v/>
      </c>
      <c r="Z851" s="315" t="str">
        <f t="shared" ca="1" si="400"/>
        <v/>
      </c>
      <c r="AA851" s="316" t="str">
        <f t="shared" ca="1" si="401"/>
        <v/>
      </c>
      <c r="AC851" s="310" t="e">
        <f t="shared" ca="1" si="402"/>
        <v>#N/A</v>
      </c>
      <c r="AD851" s="323" t="e">
        <f t="shared" ca="1" si="403"/>
        <v>#N/A</v>
      </c>
      <c r="AE851" s="324" t="e">
        <f t="shared" ca="1" si="382"/>
        <v>#N/A</v>
      </c>
      <c r="AG851" s="306">
        <f t="shared" ca="1" si="404"/>
        <v>1.7251765488182684</v>
      </c>
      <c r="AH851" s="304">
        <f t="shared" ca="1" si="405"/>
        <v>-8.055048528854357</v>
      </c>
    </row>
    <row r="852" spans="1:34" x14ac:dyDescent="0.2">
      <c r="A852" s="347">
        <f t="shared" ca="1" si="383"/>
        <v>0.1</v>
      </c>
      <c r="B852" s="304">
        <f t="shared" ca="1" si="384"/>
        <v>52.800000000000409</v>
      </c>
      <c r="D852" s="306">
        <f t="shared" ca="1" si="385"/>
        <v>-0.62563764259702426</v>
      </c>
      <c r="E852" s="307">
        <f t="shared" ca="1" si="386"/>
        <v>-1.7488694899656387</v>
      </c>
      <c r="F852" s="304">
        <f t="shared" ca="1" si="387"/>
        <v>1.8574086660632967</v>
      </c>
      <c r="G852" s="306">
        <f t="shared" ca="1" si="388"/>
        <v>12.363190048582812</v>
      </c>
      <c r="H852" s="307">
        <f t="shared" ca="1" si="389"/>
        <v>-160.27654380438116</v>
      </c>
      <c r="I852" s="304">
        <f t="shared" ca="1" si="390"/>
        <v>160.75266393455223</v>
      </c>
      <c r="J852" s="306">
        <f t="shared" ca="1" si="391"/>
        <v>1335.5794450417561</v>
      </c>
      <c r="K852" s="307">
        <f t="shared" ca="1" si="392"/>
        <v>1330.0554616029442</v>
      </c>
      <c r="L852" s="304">
        <f t="shared" ca="1" si="377"/>
        <v>1884.8925658927797</v>
      </c>
      <c r="M852" s="306">
        <f t="shared" ca="1" si="393"/>
        <v>-1.4938121570513014</v>
      </c>
      <c r="N852" s="304">
        <f t="shared" ca="1" si="394"/>
        <v>-85.589131984373267</v>
      </c>
      <c r="P852" s="310">
        <f t="shared" ca="1" si="395"/>
        <v>23</v>
      </c>
      <c r="Q852" s="304">
        <f t="shared" ca="1" si="396"/>
        <v>0</v>
      </c>
      <c r="R852" s="306">
        <f t="shared" ca="1" si="397"/>
        <v>0</v>
      </c>
      <c r="S852" s="307">
        <f t="shared" ca="1" si="398"/>
        <v>5.6519999999999806</v>
      </c>
      <c r="T852" s="304">
        <f t="shared" ca="1" si="378"/>
        <v>55.446119999999816</v>
      </c>
      <c r="U852" s="311">
        <f t="shared" ca="1" si="379"/>
        <v>0</v>
      </c>
      <c r="V852" s="306">
        <f t="shared" ca="1" si="380"/>
        <v>1.0722279696228074</v>
      </c>
      <c r="W852" s="304">
        <f t="shared" ca="1" si="381"/>
        <v>45.868818437238758</v>
      </c>
      <c r="Y852" s="314" t="str">
        <f t="shared" ca="1" si="399"/>
        <v/>
      </c>
      <c r="Z852" s="315" t="str">
        <f t="shared" ca="1" si="400"/>
        <v/>
      </c>
      <c r="AA852" s="316" t="str">
        <f t="shared" ca="1" si="401"/>
        <v/>
      </c>
      <c r="AC852" s="310" t="e">
        <f t="shared" ca="1" si="402"/>
        <v>#N/A</v>
      </c>
      <c r="AD852" s="323" t="e">
        <f t="shared" ca="1" si="403"/>
        <v>#N/A</v>
      </c>
      <c r="AE852" s="324" t="e">
        <f t="shared" ca="1" si="382"/>
        <v>#N/A</v>
      </c>
      <c r="AG852" s="306">
        <f t="shared" ca="1" si="404"/>
        <v>1.695214764511622</v>
      </c>
      <c r="AH852" s="304">
        <f t="shared" ca="1" si="405"/>
        <v>-8.0853724440894634</v>
      </c>
    </row>
    <row r="853" spans="1:34" x14ac:dyDescent="0.2">
      <c r="A853" s="347">
        <f t="shared" ca="1" si="383"/>
        <v>0.1</v>
      </c>
      <c r="B853" s="304">
        <f t="shared" ca="1" si="384"/>
        <v>52.900000000000411</v>
      </c>
      <c r="D853" s="306">
        <f t="shared" ca="1" si="385"/>
        <v>-0.62414826347979446</v>
      </c>
      <c r="E853" s="307">
        <f t="shared" ca="1" si="386"/>
        <v>-1.7185344398216351</v>
      </c>
      <c r="F853" s="304">
        <f t="shared" ca="1" si="387"/>
        <v>1.8283658484170788</v>
      </c>
      <c r="G853" s="306">
        <f t="shared" ca="1" si="388"/>
        <v>12.300775222234833</v>
      </c>
      <c r="H853" s="307">
        <f t="shared" ca="1" si="389"/>
        <v>-160.44839724836334</v>
      </c>
      <c r="I853" s="304">
        <f t="shared" ca="1" si="390"/>
        <v>160.91922585768475</v>
      </c>
      <c r="J853" s="306">
        <f t="shared" ca="1" si="391"/>
        <v>1336.8126433052969</v>
      </c>
      <c r="K853" s="307">
        <f t="shared" ca="1" si="392"/>
        <v>1314.019214550307</v>
      </c>
      <c r="L853" s="304">
        <f t="shared" ca="1" si="377"/>
        <v>1874.4904746379216</v>
      </c>
      <c r="M853" s="306">
        <f t="shared" ca="1" si="393"/>
        <v>-1.4942810065493322</v>
      </c>
      <c r="N853" s="304">
        <f t="shared" ca="1" si="394"/>
        <v>-85.615995081837255</v>
      </c>
      <c r="P853" s="310">
        <f t="shared" ca="1" si="395"/>
        <v>23</v>
      </c>
      <c r="Q853" s="304">
        <f t="shared" ca="1" si="396"/>
        <v>0</v>
      </c>
      <c r="R853" s="306">
        <f t="shared" ca="1" si="397"/>
        <v>0</v>
      </c>
      <c r="S853" s="307">
        <f t="shared" ca="1" si="398"/>
        <v>5.6519999999999806</v>
      </c>
      <c r="T853" s="304">
        <f t="shared" ca="1" si="378"/>
        <v>55.446119999999816</v>
      </c>
      <c r="U853" s="311">
        <f t="shared" ca="1" si="379"/>
        <v>0</v>
      </c>
      <c r="V853" s="306">
        <f t="shared" ca="1" si="380"/>
        <v>1.0739563585712395</v>
      </c>
      <c r="W853" s="304">
        <f t="shared" ca="1" si="381"/>
        <v>46.038012537367663</v>
      </c>
      <c r="Y853" s="314" t="str">
        <f t="shared" ca="1" si="399"/>
        <v/>
      </c>
      <c r="Z853" s="315" t="str">
        <f t="shared" ca="1" si="400"/>
        <v/>
      </c>
      <c r="AA853" s="316" t="str">
        <f t="shared" ca="1" si="401"/>
        <v/>
      </c>
      <c r="AC853" s="310" t="e">
        <f t="shared" ca="1" si="402"/>
        <v>#N/A</v>
      </c>
      <c r="AD853" s="323" t="e">
        <f t="shared" ca="1" si="403"/>
        <v>#N/A</v>
      </c>
      <c r="AE853" s="324" t="e">
        <f t="shared" ca="1" si="382"/>
        <v>#N/A</v>
      </c>
      <c r="AG853" s="306">
        <f t="shared" ca="1" si="404"/>
        <v>1.6654423651263155</v>
      </c>
      <c r="AH853" s="304">
        <f t="shared" ca="1" si="405"/>
        <v>-8.1155022005022843</v>
      </c>
    </row>
    <row r="854" spans="1:34" x14ac:dyDescent="0.2">
      <c r="A854" s="347">
        <f t="shared" ca="1" si="383"/>
        <v>0.1</v>
      </c>
      <c r="B854" s="304">
        <f t="shared" ca="1" si="384"/>
        <v>53.000000000000412</v>
      </c>
      <c r="D854" s="306">
        <f t="shared" ca="1" si="385"/>
        <v>-0.62264278725843702</v>
      </c>
      <c r="E854" s="307">
        <f t="shared" ca="1" si="386"/>
        <v>-1.6883950223488924</v>
      </c>
      <c r="F854" s="304">
        <f t="shared" ca="1" si="387"/>
        <v>1.7995448846909798</v>
      </c>
      <c r="G854" s="306">
        <f t="shared" ca="1" si="388"/>
        <v>12.23851094350899</v>
      </c>
      <c r="H854" s="307">
        <f t="shared" ca="1" si="389"/>
        <v>-160.61723675059824</v>
      </c>
      <c r="I854" s="304">
        <f t="shared" ca="1" si="390"/>
        <v>161.08282928826435</v>
      </c>
      <c r="J854" s="306">
        <f t="shared" ca="1" si="391"/>
        <v>1338.0396076135842</v>
      </c>
      <c r="K854" s="307">
        <f t="shared" ca="1" si="392"/>
        <v>1297.965932850359</v>
      </c>
      <c r="L854" s="304">
        <f t="shared" ca="1" si="377"/>
        <v>1864.1527712027298</v>
      </c>
      <c r="M854" s="306">
        <f t="shared" ca="1" si="393"/>
        <v>-1.4947465329569081</v>
      </c>
      <c r="N854" s="304">
        <f t="shared" ca="1" si="394"/>
        <v>-85.642667780243244</v>
      </c>
      <c r="P854" s="310">
        <f t="shared" ca="1" si="395"/>
        <v>23</v>
      </c>
      <c r="Q854" s="304">
        <f t="shared" ca="1" si="396"/>
        <v>0</v>
      </c>
      <c r="R854" s="306">
        <f t="shared" ca="1" si="397"/>
        <v>0</v>
      </c>
      <c r="S854" s="307">
        <f t="shared" ca="1" si="398"/>
        <v>5.6519999999999806</v>
      </c>
      <c r="T854" s="304">
        <f t="shared" ca="1" si="378"/>
        <v>55.446119999999816</v>
      </c>
      <c r="U854" s="311">
        <f t="shared" ca="1" si="379"/>
        <v>0</v>
      </c>
      <c r="V854" s="306">
        <f t="shared" ca="1" si="380"/>
        <v>1.0756891904367984</v>
      </c>
      <c r="W854" s="304">
        <f t="shared" ca="1" si="381"/>
        <v>46.206105612186249</v>
      </c>
      <c r="Y854" s="314" t="str">
        <f t="shared" ca="1" si="399"/>
        <v/>
      </c>
      <c r="Z854" s="315" t="str">
        <f t="shared" ca="1" si="400"/>
        <v/>
      </c>
      <c r="AA854" s="316" t="str">
        <f t="shared" ca="1" si="401"/>
        <v/>
      </c>
      <c r="AC854" s="310">
        <f t="shared" ca="1" si="402"/>
        <v>53.000000000000412</v>
      </c>
      <c r="AD854" s="323">
        <f t="shared" ca="1" si="403"/>
        <v>1338.0396076135842</v>
      </c>
      <c r="AE854" s="324" t="e">
        <f t="shared" ca="1" si="382"/>
        <v>#N/A</v>
      </c>
      <c r="AG854" s="306">
        <f t="shared" ca="1" si="404"/>
        <v>1.6358597606043084</v>
      </c>
      <c r="AH854" s="304">
        <f t="shared" ca="1" si="405"/>
        <v>-8.145437462379304</v>
      </c>
    </row>
    <row r="855" spans="1:34" x14ac:dyDescent="0.2">
      <c r="A855" s="347">
        <f t="shared" ca="1" si="383"/>
        <v>0.1</v>
      </c>
      <c r="B855" s="304">
        <f t="shared" ca="1" si="384"/>
        <v>53.100000000000414</v>
      </c>
      <c r="D855" s="306">
        <f t="shared" ca="1" si="385"/>
        <v>-0.62112147458050104</v>
      </c>
      <c r="E855" s="307">
        <f t="shared" ca="1" si="386"/>
        <v>-1.6584515482262319</v>
      </c>
      <c r="F855" s="304">
        <f t="shared" ca="1" si="387"/>
        <v>1.7709470415568731</v>
      </c>
      <c r="G855" s="306">
        <f t="shared" ca="1" si="388"/>
        <v>12.17639879605094</v>
      </c>
      <c r="H855" s="307">
        <f t="shared" ca="1" si="389"/>
        <v>-160.78308190542086</v>
      </c>
      <c r="I855" s="304">
        <f t="shared" ca="1" si="390"/>
        <v>161.2434932474664</v>
      </c>
      <c r="J855" s="306">
        <f t="shared" ca="1" si="391"/>
        <v>1339.2603531005623</v>
      </c>
      <c r="K855" s="307">
        <f t="shared" ca="1" si="392"/>
        <v>1281.895916917558</v>
      </c>
      <c r="L855" s="304">
        <f t="shared" ca="1" si="377"/>
        <v>1853.881181520798</v>
      </c>
      <c r="M855" s="306">
        <f t="shared" ca="1" si="393"/>
        <v>-1.4952087715003706</v>
      </c>
      <c r="N855" s="304">
        <f t="shared" ca="1" si="394"/>
        <v>-85.669152097911919</v>
      </c>
      <c r="P855" s="310">
        <f t="shared" ca="1" si="395"/>
        <v>23</v>
      </c>
      <c r="Q855" s="304">
        <f t="shared" ca="1" si="396"/>
        <v>0</v>
      </c>
      <c r="R855" s="306">
        <f t="shared" ca="1" si="397"/>
        <v>0</v>
      </c>
      <c r="S855" s="307">
        <f t="shared" ca="1" si="398"/>
        <v>5.6519999999999806</v>
      </c>
      <c r="T855" s="304">
        <f t="shared" ca="1" si="378"/>
        <v>55.446119999999816</v>
      </c>
      <c r="U855" s="311">
        <f t="shared" ca="1" si="379"/>
        <v>0</v>
      </c>
      <c r="V855" s="306">
        <f t="shared" ca="1" si="380"/>
        <v>1.0774264469336385</v>
      </c>
      <c r="W855" s="304">
        <f t="shared" ca="1" si="381"/>
        <v>46.373096073092292</v>
      </c>
      <c r="Y855" s="314" t="str">
        <f t="shared" ca="1" si="399"/>
        <v/>
      </c>
      <c r="Z855" s="315" t="str">
        <f t="shared" ca="1" si="400"/>
        <v/>
      </c>
      <c r="AA855" s="316" t="str">
        <f t="shared" ca="1" si="401"/>
        <v/>
      </c>
      <c r="AC855" s="310" t="e">
        <f t="shared" ca="1" si="402"/>
        <v>#N/A</v>
      </c>
      <c r="AD855" s="323" t="e">
        <f t="shared" ca="1" si="403"/>
        <v>#N/A</v>
      </c>
      <c r="AE855" s="324" t="e">
        <f t="shared" ca="1" si="382"/>
        <v>#N/A</v>
      </c>
      <c r="AG855" s="306">
        <f t="shared" ca="1" si="404"/>
        <v>1.6064673319951428</v>
      </c>
      <c r="AH855" s="304">
        <f t="shared" ca="1" si="405"/>
        <v>-8.1751779214767168</v>
      </c>
    </row>
    <row r="856" spans="1:34" x14ac:dyDescent="0.2">
      <c r="A856" s="347">
        <f t="shared" ca="1" si="383"/>
        <v>0.1</v>
      </c>
      <c r="B856" s="304">
        <f t="shared" ca="1" si="384"/>
        <v>53.200000000000415</v>
      </c>
      <c r="D856" s="306">
        <f t="shared" ca="1" si="385"/>
        <v>-0.61958458515192938</v>
      </c>
      <c r="E856" s="307">
        <f t="shared" ca="1" si="386"/>
        <v>-1.6287043008046673</v>
      </c>
      <c r="F856" s="304">
        <f t="shared" ca="1" si="387"/>
        <v>1.7425736017791353</v>
      </c>
      <c r="G856" s="306">
        <f t="shared" ca="1" si="388"/>
        <v>12.114440337535747</v>
      </c>
      <c r="H856" s="307">
        <f t="shared" ca="1" si="389"/>
        <v>-160.94595233550132</v>
      </c>
      <c r="I856" s="304">
        <f t="shared" ca="1" si="390"/>
        <v>161.4012367916466</v>
      </c>
      <c r="J856" s="306">
        <f t="shared" ca="1" si="391"/>
        <v>1340.4748950572416</v>
      </c>
      <c r="K856" s="307">
        <f t="shared" ca="1" si="392"/>
        <v>1265.809465205512</v>
      </c>
      <c r="L856" s="304">
        <f t="shared" ca="1" si="377"/>
        <v>1843.677451856096</v>
      </c>
      <c r="M856" s="306">
        <f t="shared" ca="1" si="393"/>
        <v>-1.4956677568563017</v>
      </c>
      <c r="N856" s="304">
        <f t="shared" ca="1" si="394"/>
        <v>-85.695450021665081</v>
      </c>
      <c r="P856" s="310">
        <f t="shared" ca="1" si="395"/>
        <v>23</v>
      </c>
      <c r="Q856" s="304">
        <f t="shared" ca="1" si="396"/>
        <v>0</v>
      </c>
      <c r="R856" s="306">
        <f t="shared" ca="1" si="397"/>
        <v>0</v>
      </c>
      <c r="S856" s="307">
        <f t="shared" ca="1" si="398"/>
        <v>5.6519999999999806</v>
      </c>
      <c r="T856" s="304">
        <f t="shared" ca="1" si="378"/>
        <v>55.446119999999816</v>
      </c>
      <c r="U856" s="311">
        <f t="shared" ca="1" si="379"/>
        <v>0</v>
      </c>
      <c r="V856" s="306">
        <f t="shared" ca="1" si="380"/>
        <v>1.0791681098559804</v>
      </c>
      <c r="W856" s="304">
        <f t="shared" ca="1" si="381"/>
        <v>46.538982483395593</v>
      </c>
      <c r="Y856" s="314" t="str">
        <f t="shared" ca="1" si="399"/>
        <v/>
      </c>
      <c r="Z856" s="315" t="str">
        <f t="shared" ca="1" si="400"/>
        <v/>
      </c>
      <c r="AA856" s="316" t="str">
        <f t="shared" ca="1" si="401"/>
        <v/>
      </c>
      <c r="AC856" s="310" t="e">
        <f t="shared" ca="1" si="402"/>
        <v>#N/A</v>
      </c>
      <c r="AD856" s="323" t="e">
        <f t="shared" ca="1" si="403"/>
        <v>#N/A</v>
      </c>
      <c r="AE856" s="324" t="e">
        <f t="shared" ca="1" si="382"/>
        <v>#N/A</v>
      </c>
      <c r="AG856" s="306">
        <f t="shared" ca="1" si="404"/>
        <v>1.5772654317837969</v>
      </c>
      <c r="AH856" s="304">
        <f t="shared" ca="1" si="405"/>
        <v>-8.2047232967254864</v>
      </c>
    </row>
    <row r="857" spans="1:34" x14ac:dyDescent="0.2">
      <c r="A857" s="347">
        <f t="shared" ca="1" si="383"/>
        <v>0.1</v>
      </c>
      <c r="B857" s="304">
        <f t="shared" ca="1" si="384"/>
        <v>53.300000000000416</v>
      </c>
      <c r="D857" s="306">
        <f t="shared" ca="1" si="385"/>
        <v>-0.61803237770481512</v>
      </c>
      <c r="E857" s="307">
        <f t="shared" ca="1" si="386"/>
        <v>-1.5991535364060177</v>
      </c>
      <c r="F857" s="304">
        <f t="shared" ca="1" si="387"/>
        <v>1.7144258668403658</v>
      </c>
      <c r="G857" s="306">
        <f t="shared" ca="1" si="388"/>
        <v>12.052637099765265</v>
      </c>
      <c r="H857" s="307">
        <f t="shared" ca="1" si="389"/>
        <v>-161.10586768914192</v>
      </c>
      <c r="I857" s="304">
        <f t="shared" ca="1" si="390"/>
        <v>161.55607900951898</v>
      </c>
      <c r="J857" s="306">
        <f t="shared" ca="1" si="391"/>
        <v>1341.6832489291066</v>
      </c>
      <c r="K857" s="307">
        <f t="shared" ca="1" si="392"/>
        <v>1249.7068742042798</v>
      </c>
      <c r="L857" s="304">
        <f t="shared" ca="1" si="377"/>
        <v>1833.5433487895493</v>
      </c>
      <c r="M857" s="306">
        <f t="shared" ca="1" si="393"/>
        <v>-1.4961235231621615</v>
      </c>
      <c r="N857" s="304">
        <f t="shared" ca="1" si="394"/>
        <v>-85.721563507435121</v>
      </c>
      <c r="P857" s="310">
        <f t="shared" ca="1" si="395"/>
        <v>23</v>
      </c>
      <c r="Q857" s="304">
        <f t="shared" ca="1" si="396"/>
        <v>0</v>
      </c>
      <c r="R857" s="306">
        <f t="shared" ca="1" si="397"/>
        <v>0</v>
      </c>
      <c r="S857" s="307">
        <f t="shared" ca="1" si="398"/>
        <v>5.6519999999999806</v>
      </c>
      <c r="T857" s="304">
        <f t="shared" ca="1" si="378"/>
        <v>55.446119999999816</v>
      </c>
      <c r="U857" s="311">
        <f t="shared" ca="1" si="379"/>
        <v>0</v>
      </c>
      <c r="V857" s="306">
        <f t="shared" ca="1" si="380"/>
        <v>1.0809141610787449</v>
      </c>
      <c r="W857" s="304">
        <f t="shared" ca="1" si="381"/>
        <v>46.703763556626235</v>
      </c>
      <c r="Y857" s="314" t="str">
        <f t="shared" ca="1" si="399"/>
        <v/>
      </c>
      <c r="Z857" s="315" t="str">
        <f t="shared" ca="1" si="400"/>
        <v/>
      </c>
      <c r="AA857" s="316" t="str">
        <f t="shared" ca="1" si="401"/>
        <v/>
      </c>
      <c r="AC857" s="310" t="e">
        <f t="shared" ca="1" si="402"/>
        <v>#N/A</v>
      </c>
      <c r="AD857" s="323" t="e">
        <f t="shared" ca="1" si="403"/>
        <v>#N/A</v>
      </c>
      <c r="AE857" s="324" t="e">
        <f t="shared" ca="1" si="382"/>
        <v>#N/A</v>
      </c>
      <c r="AG857" s="306">
        <f t="shared" ca="1" si="404"/>
        <v>1.5482543842199004</v>
      </c>
      <c r="AH857" s="304">
        <f t="shared" ca="1" si="405"/>
        <v>-8.2340733339341394</v>
      </c>
    </row>
    <row r="858" spans="1:34" x14ac:dyDescent="0.2">
      <c r="A858" s="347">
        <f t="shared" ca="1" si="383"/>
        <v>0.1</v>
      </c>
      <c r="B858" s="304">
        <f t="shared" ca="1" si="384"/>
        <v>53.400000000000418</v>
      </c>
      <c r="D858" s="306">
        <f t="shared" ca="1" si="385"/>
        <v>-0.61646510996584714</v>
      </c>
      <c r="E858" s="307">
        <f t="shared" ca="1" si="386"/>
        <v>-1.5697994846236387</v>
      </c>
      <c r="F858" s="304">
        <f t="shared" ca="1" si="387"/>
        <v>1.686505159710413</v>
      </c>
      <c r="G858" s="306">
        <f t="shared" ca="1" si="388"/>
        <v>11.99099058876868</v>
      </c>
      <c r="H858" s="307">
        <f t="shared" ca="1" si="389"/>
        <v>-161.26284763760427</v>
      </c>
      <c r="I858" s="304">
        <f t="shared" ca="1" si="390"/>
        <v>161.70803901936696</v>
      </c>
      <c r="J858" s="306">
        <f t="shared" ca="1" si="391"/>
        <v>1342.8854303135333</v>
      </c>
      <c r="K858" s="307">
        <f t="shared" ca="1" si="392"/>
        <v>1233.5884384379424</v>
      </c>
      <c r="L858" s="304">
        <f t="shared" ca="1" si="377"/>
        <v>1823.4806591779702</v>
      </c>
      <c r="M858" s="306">
        <f t="shared" ca="1" si="393"/>
        <v>-1.4965761040266856</v>
      </c>
      <c r="N858" s="304">
        <f t="shared" ca="1" si="394"/>
        <v>-85.747494480860738</v>
      </c>
      <c r="P858" s="310">
        <f t="shared" ca="1" si="395"/>
        <v>23</v>
      </c>
      <c r="Q858" s="304">
        <f t="shared" ca="1" si="396"/>
        <v>0</v>
      </c>
      <c r="R858" s="306">
        <f t="shared" ca="1" si="397"/>
        <v>0</v>
      </c>
      <c r="S858" s="307">
        <f t="shared" ca="1" si="398"/>
        <v>5.6519999999999806</v>
      </c>
      <c r="T858" s="304">
        <f t="shared" ca="1" si="378"/>
        <v>55.446119999999816</v>
      </c>
      <c r="U858" s="311">
        <f t="shared" ca="1" si="379"/>
        <v>0</v>
      </c>
      <c r="V858" s="306">
        <f t="shared" ca="1" si="380"/>
        <v>1.0826645825581758</v>
      </c>
      <c r="W858" s="304">
        <f t="shared" ca="1" si="381"/>
        <v>46.867438154831518</v>
      </c>
      <c r="Y858" s="314" t="str">
        <f t="shared" ca="1" si="399"/>
        <v/>
      </c>
      <c r="Z858" s="315" t="str">
        <f t="shared" ca="1" si="400"/>
        <v/>
      </c>
      <c r="AA858" s="316" t="str">
        <f t="shared" ca="1" si="401"/>
        <v/>
      </c>
      <c r="AC858" s="310" t="e">
        <f t="shared" ca="1" si="402"/>
        <v>#N/A</v>
      </c>
      <c r="AD858" s="323" t="e">
        <f t="shared" ca="1" si="403"/>
        <v>#N/A</v>
      </c>
      <c r="AE858" s="324" t="e">
        <f t="shared" ca="1" si="382"/>
        <v>#N/A</v>
      </c>
      <c r="AG858" s="306">
        <f t="shared" ca="1" si="404"/>
        <v>1.5194344856482349</v>
      </c>
      <c r="AH858" s="304">
        <f t="shared" ca="1" si="405"/>
        <v>-8.2632278054894535</v>
      </c>
    </row>
    <row r="859" spans="1:34" x14ac:dyDescent="0.2">
      <c r="A859" s="347">
        <f t="shared" ca="1" si="383"/>
        <v>0.1</v>
      </c>
      <c r="B859" s="304">
        <f t="shared" ca="1" si="384"/>
        <v>53.500000000000419</v>
      </c>
      <c r="D859" s="306">
        <f t="shared" ca="1" si="385"/>
        <v>-0.61488303862541716</v>
      </c>
      <c r="E859" s="307">
        <f t="shared" ca="1" si="386"/>
        <v>-1.5406423486251786</v>
      </c>
      <c r="F859" s="304">
        <f t="shared" ca="1" si="387"/>
        <v>1.6588128277676577</v>
      </c>
      <c r="G859" s="306">
        <f t="shared" ca="1" si="388"/>
        <v>11.929502284906139</v>
      </c>
      <c r="H859" s="307">
        <f t="shared" ca="1" si="389"/>
        <v>-161.41691187246678</v>
      </c>
      <c r="I859" s="304">
        <f t="shared" ca="1" si="390"/>
        <v>161.85713596628753</v>
      </c>
      <c r="J859" s="306">
        <f t="shared" ca="1" si="391"/>
        <v>1344.0814549572171</v>
      </c>
      <c r="K859" s="307">
        <f t="shared" ca="1" si="392"/>
        <v>1217.4544504624389</v>
      </c>
      <c r="L859" s="304">
        <f t="shared" ca="1" si="377"/>
        <v>1813.4911900835659</v>
      </c>
      <c r="M859" s="306">
        <f t="shared" ca="1" si="393"/>
        <v>-1.4970255325400477</v>
      </c>
      <c r="N859" s="304">
        <f t="shared" ca="1" si="394"/>
        <v>-85.773244837869214</v>
      </c>
      <c r="P859" s="310">
        <f t="shared" ca="1" si="395"/>
        <v>23</v>
      </c>
      <c r="Q859" s="304">
        <f t="shared" ca="1" si="396"/>
        <v>0</v>
      </c>
      <c r="R859" s="306">
        <f t="shared" ca="1" si="397"/>
        <v>0</v>
      </c>
      <c r="S859" s="307">
        <f t="shared" ca="1" si="398"/>
        <v>5.6519999999999806</v>
      </c>
      <c r="T859" s="304">
        <f t="shared" ca="1" si="378"/>
        <v>55.446119999999816</v>
      </c>
      <c r="U859" s="311">
        <f t="shared" ca="1" si="379"/>
        <v>0</v>
      </c>
      <c r="V859" s="306">
        <f t="shared" ca="1" si="380"/>
        <v>1.0844193563324482</v>
      </c>
      <c r="W859" s="304">
        <f t="shared" ca="1" si="381"/>
        <v>47.030005286862462</v>
      </c>
      <c r="Y859" s="314" t="str">
        <f t="shared" ca="1" si="399"/>
        <v/>
      </c>
      <c r="Z859" s="315" t="str">
        <f t="shared" ca="1" si="400"/>
        <v/>
      </c>
      <c r="AA859" s="316" t="str">
        <f t="shared" ca="1" si="401"/>
        <v/>
      </c>
      <c r="AC859" s="310" t="e">
        <f t="shared" ca="1" si="402"/>
        <v>#N/A</v>
      </c>
      <c r="AD859" s="323" t="e">
        <f t="shared" ca="1" si="403"/>
        <v>#N/A</v>
      </c>
      <c r="AE859" s="324" t="e">
        <f t="shared" ca="1" si="382"/>
        <v>#N/A</v>
      </c>
      <c r="AG859" s="306">
        <f t="shared" ca="1" si="404"/>
        <v>1.4908060048403637</v>
      </c>
      <c r="AH859" s="304">
        <f t="shared" ca="1" si="405"/>
        <v>-8.2921865100551457</v>
      </c>
    </row>
    <row r="860" spans="1:34" x14ac:dyDescent="0.2">
      <c r="A860" s="347">
        <f t="shared" ca="1" si="383"/>
        <v>0.1</v>
      </c>
      <c r="B860" s="304">
        <f t="shared" ca="1" si="384"/>
        <v>53.600000000000421</v>
      </c>
      <c r="D860" s="306">
        <f t="shared" ca="1" si="385"/>
        <v>-0.61328641930741257</v>
      </c>
      <c r="E860" s="307">
        <f t="shared" ca="1" si="386"/>
        <v>-1.5116823054572137</v>
      </c>
      <c r="F860" s="304">
        <f t="shared" ca="1" si="387"/>
        <v>1.6313502458820253</v>
      </c>
      <c r="G860" s="306">
        <f t="shared" ca="1" si="388"/>
        <v>11.868173642975398</v>
      </c>
      <c r="H860" s="307">
        <f t="shared" ca="1" si="389"/>
        <v>-161.56808010301251</v>
      </c>
      <c r="I860" s="304">
        <f t="shared" ca="1" si="390"/>
        <v>162.00338901946861</v>
      </c>
      <c r="J860" s="306">
        <f t="shared" ca="1" si="391"/>
        <v>1345.2713387536112</v>
      </c>
      <c r="K860" s="307">
        <f t="shared" ca="1" si="392"/>
        <v>1201.305200863665</v>
      </c>
      <c r="L860" s="304">
        <f t="shared" ca="1" si="377"/>
        <v>1803.5767686721915</v>
      </c>
      <c r="M860" s="306">
        <f t="shared" ca="1" si="393"/>
        <v>-1.4974718412837942</v>
      </c>
      <c r="N860" s="304">
        <f t="shared" ca="1" si="394"/>
        <v>-85.798816445245677</v>
      </c>
      <c r="P860" s="310">
        <f t="shared" ca="1" si="395"/>
        <v>23</v>
      </c>
      <c r="Q860" s="304">
        <f t="shared" ca="1" si="396"/>
        <v>0</v>
      </c>
      <c r="R860" s="306">
        <f t="shared" ca="1" si="397"/>
        <v>0</v>
      </c>
      <c r="S860" s="307">
        <f t="shared" ca="1" si="398"/>
        <v>5.6519999999999806</v>
      </c>
      <c r="T860" s="304">
        <f t="shared" ca="1" si="378"/>
        <v>55.446119999999816</v>
      </c>
      <c r="U860" s="311">
        <f t="shared" ca="1" si="379"/>
        <v>0</v>
      </c>
      <c r="V860" s="306">
        <f t="shared" ca="1" si="380"/>
        <v>1.0861784645222652</v>
      </c>
      <c r="W860" s="304">
        <f t="shared" ca="1" si="381"/>
        <v>47.191464106650137</v>
      </c>
      <c r="Y860" s="314" t="str">
        <f t="shared" ca="1" si="399"/>
        <v/>
      </c>
      <c r="Z860" s="315" t="str">
        <f t="shared" ca="1" si="400"/>
        <v/>
      </c>
      <c r="AA860" s="316" t="str">
        <f t="shared" ca="1" si="401"/>
        <v/>
      </c>
      <c r="AC860" s="310" t="e">
        <f t="shared" ca="1" si="402"/>
        <v>#N/A</v>
      </c>
      <c r="AD860" s="323" t="e">
        <f t="shared" ca="1" si="403"/>
        <v>#N/A</v>
      </c>
      <c r="AE860" s="324" t="e">
        <f t="shared" ca="1" si="382"/>
        <v>#N/A</v>
      </c>
      <c r="AG860" s="306">
        <f t="shared" ca="1" si="404"/>
        <v>1.4623691833273575</v>
      </c>
      <c r="AH860" s="304">
        <f t="shared" ca="1" si="405"/>
        <v>-8.3209492722686882</v>
      </c>
    </row>
    <row r="861" spans="1:34" x14ac:dyDescent="0.2">
      <c r="A861" s="347">
        <f t="shared" ca="1" si="383"/>
        <v>0.1</v>
      </c>
      <c r="B861" s="304">
        <f t="shared" ca="1" si="384"/>
        <v>53.700000000000422</v>
      </c>
      <c r="D861" s="306">
        <f t="shared" ca="1" si="385"/>
        <v>-0.61167550653966551</v>
      </c>
      <c r="E861" s="307">
        <f t="shared" ca="1" si="386"/>
        <v>-1.4829195063516796</v>
      </c>
      <c r="F861" s="304">
        <f t="shared" ca="1" si="387"/>
        <v>1.6041188196698102</v>
      </c>
      <c r="G861" s="306">
        <f t="shared" ca="1" si="388"/>
        <v>11.807006092321432</v>
      </c>
      <c r="H861" s="307">
        <f t="shared" ca="1" si="389"/>
        <v>-161.71637205364766</v>
      </c>
      <c r="I861" s="304">
        <f t="shared" ca="1" si="390"/>
        <v>162.14681736949976</v>
      </c>
      <c r="J861" s="306">
        <f t="shared" ca="1" si="391"/>
        <v>1346.455097740376</v>
      </c>
      <c r="K861" s="307">
        <f t="shared" ca="1" si="392"/>
        <v>1185.1409782558321</v>
      </c>
      <c r="L861" s="304">
        <f t="shared" ca="1" si="377"/>
        <v>1793.7392420784679</v>
      </c>
      <c r="M861" s="306">
        <f t="shared" ca="1" si="393"/>
        <v>-1.497915062340555</v>
      </c>
      <c r="N861" s="304">
        <f t="shared" ca="1" si="394"/>
        <v>-85.824211141189409</v>
      </c>
      <c r="P861" s="310">
        <f t="shared" ca="1" si="395"/>
        <v>23</v>
      </c>
      <c r="Q861" s="304">
        <f t="shared" ca="1" si="396"/>
        <v>0</v>
      </c>
      <c r="R861" s="306">
        <f t="shared" ca="1" si="397"/>
        <v>0</v>
      </c>
      <c r="S861" s="307">
        <f t="shared" ca="1" si="398"/>
        <v>5.6519999999999806</v>
      </c>
      <c r="T861" s="304">
        <f t="shared" ca="1" si="378"/>
        <v>55.446119999999816</v>
      </c>
      <c r="U861" s="311">
        <f t="shared" ca="1" si="379"/>
        <v>0</v>
      </c>
      <c r="V861" s="306">
        <f t="shared" ca="1" si="380"/>
        <v>1.0879418893314421</v>
      </c>
      <c r="W861" s="304">
        <f t="shared" ca="1" si="381"/>
        <v>47.351813911472988</v>
      </c>
      <c r="Y861" s="314" t="str">
        <f t="shared" ca="1" si="399"/>
        <v/>
      </c>
      <c r="Z861" s="315" t="str">
        <f t="shared" ca="1" si="400"/>
        <v/>
      </c>
      <c r="AA861" s="316" t="str">
        <f t="shared" ca="1" si="401"/>
        <v/>
      </c>
      <c r="AC861" s="310" t="e">
        <f t="shared" ca="1" si="402"/>
        <v>#N/A</v>
      </c>
      <c r="AD861" s="323" t="e">
        <f t="shared" ca="1" si="403"/>
        <v>#N/A</v>
      </c>
      <c r="AE861" s="324" t="e">
        <f t="shared" ca="1" si="382"/>
        <v>#N/A</v>
      </c>
      <c r="AG861" s="306">
        <f t="shared" ca="1" si="404"/>
        <v>1.4341242357334885</v>
      </c>
      <c r="AH861" s="304">
        <f t="shared" ca="1" si="405"/>
        <v>-8.3495159424363585</v>
      </c>
    </row>
    <row r="862" spans="1:34" x14ac:dyDescent="0.2">
      <c r="A862" s="347">
        <f t="shared" ca="1" si="383"/>
        <v>0.1</v>
      </c>
      <c r="B862" s="304">
        <f t="shared" ca="1" si="384"/>
        <v>53.800000000000423</v>
      </c>
      <c r="D862" s="306">
        <f t="shared" ca="1" si="385"/>
        <v>-0.6100505537250952</v>
      </c>
      <c r="E862" s="307">
        <f t="shared" ca="1" si="386"/>
        <v>-1.4543540770339245</v>
      </c>
      <c r="F862" s="304">
        <f t="shared" ca="1" si="387"/>
        <v>1.5771199889309291</v>
      </c>
      <c r="G862" s="306">
        <f t="shared" ca="1" si="388"/>
        <v>11.746001036948922</v>
      </c>
      <c r="H862" s="307">
        <f t="shared" ca="1" si="389"/>
        <v>-161.86180746135105</v>
      </c>
      <c r="I862" s="304">
        <f t="shared" ca="1" si="390"/>
        <v>162.28744022571644</v>
      </c>
      <c r="J862" s="306">
        <f t="shared" ca="1" si="391"/>
        <v>1347.6327480968396</v>
      </c>
      <c r="K862" s="307">
        <f t="shared" ca="1" si="392"/>
        <v>1168.9620692800822</v>
      </c>
      <c r="L862" s="304">
        <f t="shared" ca="1" si="377"/>
        <v>1783.9804772358391</v>
      </c>
      <c r="M862" s="306">
        <f t="shared" ca="1" si="393"/>
        <v>-1.4983552273035408</v>
      </c>
      <c r="N862" s="304">
        <f t="shared" ca="1" si="394"/>
        <v>-85.849430735858022</v>
      </c>
      <c r="P862" s="310">
        <f t="shared" ca="1" si="395"/>
        <v>23</v>
      </c>
      <c r="Q862" s="304">
        <f t="shared" ca="1" si="396"/>
        <v>0</v>
      </c>
      <c r="R862" s="306">
        <f t="shared" ca="1" si="397"/>
        <v>0</v>
      </c>
      <c r="S862" s="307">
        <f t="shared" ca="1" si="398"/>
        <v>5.6519999999999806</v>
      </c>
      <c r="T862" s="304">
        <f t="shared" ca="1" si="378"/>
        <v>55.446119999999816</v>
      </c>
      <c r="U862" s="311">
        <f t="shared" ca="1" si="379"/>
        <v>0</v>
      </c>
      <c r="V862" s="306">
        <f t="shared" ca="1" si="380"/>
        <v>1.0897096130474762</v>
      </c>
      <c r="W862" s="304">
        <f t="shared" ca="1" si="381"/>
        <v>47.5110541402154</v>
      </c>
      <c r="Y862" s="314" t="str">
        <f t="shared" ca="1" si="399"/>
        <v/>
      </c>
      <c r="Z862" s="315" t="str">
        <f t="shared" ca="1" si="400"/>
        <v/>
      </c>
      <c r="AA862" s="316" t="str">
        <f t="shared" ca="1" si="401"/>
        <v/>
      </c>
      <c r="AC862" s="310" t="e">
        <f t="shared" ca="1" si="402"/>
        <v>#N/A</v>
      </c>
      <c r="AD862" s="323" t="e">
        <f t="shared" ca="1" si="403"/>
        <v>#N/A</v>
      </c>
      <c r="AE862" s="324" t="e">
        <f t="shared" ca="1" si="382"/>
        <v>#N/A</v>
      </c>
      <c r="AG862" s="306">
        <f t="shared" ca="1" si="404"/>
        <v>1.4060713501107944</v>
      </c>
      <c r="AH862" s="304">
        <f t="shared" ca="1" si="405"/>
        <v>-8.3778863962266712</v>
      </c>
    </row>
    <row r="863" spans="1:34" x14ac:dyDescent="0.2">
      <c r="A863" s="347">
        <f t="shared" ca="1" si="383"/>
        <v>0.1</v>
      </c>
      <c r="B863" s="304">
        <f t="shared" ca="1" si="384"/>
        <v>53.900000000000425</v>
      </c>
      <c r="D863" s="306">
        <f t="shared" ca="1" si="385"/>
        <v>-0.60841181311348635</v>
      </c>
      <c r="E863" s="307">
        <f t="shared" ca="1" si="386"/>
        <v>-1.4259861180323146</v>
      </c>
      <c r="F863" s="304">
        <f t="shared" ca="1" si="387"/>
        <v>1.5503552312798865</v>
      </c>
      <c r="G863" s="306">
        <f t="shared" ca="1" si="388"/>
        <v>11.685159855637574</v>
      </c>
      <c r="H863" s="307">
        <f t="shared" ca="1" si="389"/>
        <v>-162.00440607315429</v>
      </c>
      <c r="I863" s="304">
        <f t="shared" ca="1" si="390"/>
        <v>162.42527681357748</v>
      </c>
      <c r="J863" s="306">
        <f t="shared" ca="1" si="391"/>
        <v>1348.8043061414689</v>
      </c>
      <c r="K863" s="307">
        <f t="shared" ca="1" si="392"/>
        <v>1152.7687586033569</v>
      </c>
      <c r="L863" s="304">
        <f t="shared" ca="1" si="377"/>
        <v>1774.302360669594</v>
      </c>
      <c r="M863" s="306">
        <f t="shared" ca="1" si="393"/>
        <v>-1.4987923672858245</v>
      </c>
      <c r="N863" s="304">
        <f t="shared" ca="1" si="394"/>
        <v>-85.874477011899302</v>
      </c>
      <c r="P863" s="310">
        <f t="shared" ca="1" si="395"/>
        <v>23</v>
      </c>
      <c r="Q863" s="304">
        <f t="shared" ca="1" si="396"/>
        <v>0</v>
      </c>
      <c r="R863" s="306">
        <f t="shared" ca="1" si="397"/>
        <v>0</v>
      </c>
      <c r="S863" s="307">
        <f t="shared" ca="1" si="398"/>
        <v>5.6519999999999806</v>
      </c>
      <c r="T863" s="304">
        <f t="shared" ca="1" si="378"/>
        <v>55.446119999999816</v>
      </c>
      <c r="U863" s="311">
        <f t="shared" ca="1" si="379"/>
        <v>0</v>
      </c>
      <c r="V863" s="306">
        <f t="shared" ca="1" si="380"/>
        <v>1.0914816180421054</v>
      </c>
      <c r="W863" s="304">
        <f t="shared" ca="1" si="381"/>
        <v>47.66918437161835</v>
      </c>
      <c r="Y863" s="314" t="str">
        <f t="shared" ca="1" si="399"/>
        <v/>
      </c>
      <c r="Z863" s="315" t="str">
        <f t="shared" ca="1" si="400"/>
        <v/>
      </c>
      <c r="AA863" s="316" t="str">
        <f t="shared" ca="1" si="401"/>
        <v/>
      </c>
      <c r="AC863" s="310" t="e">
        <f t="shared" ca="1" si="402"/>
        <v>#N/A</v>
      </c>
      <c r="AD863" s="323" t="e">
        <f t="shared" ca="1" si="403"/>
        <v>#N/A</v>
      </c>
      <c r="AE863" s="324" t="e">
        <f t="shared" ca="1" si="382"/>
        <v>#N/A</v>
      </c>
      <c r="AG863" s="306">
        <f t="shared" ca="1" si="404"/>
        <v>1.3782106882744465</v>
      </c>
      <c r="AH863" s="304">
        <f t="shared" ca="1" si="405"/>
        <v>-8.4060605343622719</v>
      </c>
    </row>
    <row r="864" spans="1:34" x14ac:dyDescent="0.2">
      <c r="A864" s="347">
        <f t="shared" ca="1" si="383"/>
        <v>0.1</v>
      </c>
      <c r="B864" s="304">
        <f t="shared" ca="1" si="384"/>
        <v>54.000000000000426</v>
      </c>
      <c r="D864" s="306">
        <f t="shared" ca="1" si="385"/>
        <v>-0.6067595357739668</v>
      </c>
      <c r="E864" s="307">
        <f t="shared" ca="1" si="386"/>
        <v>-1.3978157049892737</v>
      </c>
      <c r="F864" s="304">
        <f t="shared" ca="1" si="387"/>
        <v>1.5238260659823677</v>
      </c>
      <c r="G864" s="306">
        <f t="shared" ca="1" si="388"/>
        <v>11.624483902060177</v>
      </c>
      <c r="H864" s="307">
        <f t="shared" ca="1" si="389"/>
        <v>-162.14418764365323</v>
      </c>
      <c r="I864" s="304">
        <f t="shared" ca="1" si="390"/>
        <v>162.56034637207648</v>
      </c>
      <c r="J864" s="306">
        <f t="shared" ca="1" si="391"/>
        <v>1349.9697883293538</v>
      </c>
      <c r="K864" s="307">
        <f t="shared" ca="1" si="392"/>
        <v>1136.5613289175164</v>
      </c>
      <c r="L864" s="304">
        <f t="shared" ca="1" si="377"/>
        <v>1764.7067982508458</v>
      </c>
      <c r="M864" s="306">
        <f t="shared" ca="1" si="393"/>
        <v>-1.4992265129294222</v>
      </c>
      <c r="N864" s="304">
        <f t="shared" ca="1" si="394"/>
        <v>-85.899351724971439</v>
      </c>
      <c r="P864" s="310">
        <f t="shared" ca="1" si="395"/>
        <v>23</v>
      </c>
      <c r="Q864" s="304">
        <f t="shared" ca="1" si="396"/>
        <v>0</v>
      </c>
      <c r="R864" s="306">
        <f t="shared" ca="1" si="397"/>
        <v>0</v>
      </c>
      <c r="S864" s="307">
        <f t="shared" ca="1" si="398"/>
        <v>5.6519999999999806</v>
      </c>
      <c r="T864" s="304">
        <f t="shared" ca="1" si="378"/>
        <v>55.446119999999816</v>
      </c>
      <c r="U864" s="311">
        <f t="shared" ca="1" si="379"/>
        <v>0</v>
      </c>
      <c r="V864" s="306">
        <f t="shared" ca="1" si="380"/>
        <v>1.0932578867718534</v>
      </c>
      <c r="W864" s="304">
        <f t="shared" ca="1" si="381"/>
        <v>47.82620432252282</v>
      </c>
      <c r="Y864" s="314" t="str">
        <f t="shared" ca="1" si="399"/>
        <v/>
      </c>
      <c r="Z864" s="315" t="str">
        <f t="shared" ca="1" si="400"/>
        <v/>
      </c>
      <c r="AA864" s="316" t="str">
        <f t="shared" ca="1" si="401"/>
        <v/>
      </c>
      <c r="AC864" s="310">
        <f t="shared" ca="1" si="402"/>
        <v>54.000000000000426</v>
      </c>
      <c r="AD864" s="323">
        <f t="shared" ca="1" si="403"/>
        <v>1349.9697883293538</v>
      </c>
      <c r="AE864" s="324" t="e">
        <f t="shared" ca="1" si="382"/>
        <v>#N/A</v>
      </c>
      <c r="AG864" s="306">
        <f t="shared" ca="1" si="404"/>
        <v>1.3505423861387982</v>
      </c>
      <c r="AH864" s="304">
        <f t="shared" ca="1" si="405"/>
        <v>-8.4340382823104232</v>
      </c>
    </row>
    <row r="865" spans="1:34" x14ac:dyDescent="0.2">
      <c r="A865" s="347">
        <f t="shared" ca="1" si="383"/>
        <v>0.1</v>
      </c>
      <c r="B865" s="304">
        <f t="shared" ca="1" si="384"/>
        <v>54.100000000000428</v>
      </c>
      <c r="D865" s="306">
        <f t="shared" ca="1" si="385"/>
        <v>-0.60509397156812372</v>
      </c>
      <c r="E865" s="307">
        <f t="shared" ca="1" si="386"/>
        <v>-1.369842888973599</v>
      </c>
      <c r="F865" s="304">
        <f t="shared" ca="1" si="387"/>
        <v>1.4975340580099075</v>
      </c>
      <c r="G865" s="306">
        <f t="shared" ca="1" si="388"/>
        <v>11.563974504903365</v>
      </c>
      <c r="H865" s="307">
        <f t="shared" ca="1" si="389"/>
        <v>-162.28117193255059</v>
      </c>
      <c r="I865" s="304">
        <f t="shared" ca="1" si="390"/>
        <v>162.69266815118652</v>
      </c>
      <c r="J865" s="306">
        <f t="shared" ca="1" si="391"/>
        <v>1351.1292112497019</v>
      </c>
      <c r="K865" s="307">
        <f t="shared" ca="1" si="392"/>
        <v>1120.3400609387063</v>
      </c>
      <c r="L865" s="304">
        <f t="shared" ca="1" si="377"/>
        <v>1755.1957149094189</v>
      </c>
      <c r="M865" s="306">
        <f t="shared" ca="1" si="393"/>
        <v>-1.4996576944141697</v>
      </c>
      <c r="N865" s="304">
        <f t="shared" ca="1" si="394"/>
        <v>-85.92405660425166</v>
      </c>
      <c r="P865" s="310">
        <f t="shared" ca="1" si="395"/>
        <v>23</v>
      </c>
      <c r="Q865" s="304">
        <f t="shared" ca="1" si="396"/>
        <v>0</v>
      </c>
      <c r="R865" s="306">
        <f t="shared" ca="1" si="397"/>
        <v>0</v>
      </c>
      <c r="S865" s="307">
        <f t="shared" ca="1" si="398"/>
        <v>5.6519999999999806</v>
      </c>
      <c r="T865" s="304">
        <f t="shared" ca="1" si="378"/>
        <v>55.446119999999816</v>
      </c>
      <c r="U865" s="311">
        <f t="shared" ca="1" si="379"/>
        <v>0</v>
      </c>
      <c r="V865" s="306">
        <f t="shared" ca="1" si="380"/>
        <v>1.0950384017785635</v>
      </c>
      <c r="W865" s="304">
        <f t="shared" ca="1" si="381"/>
        <v>47.982113846106557</v>
      </c>
      <c r="Y865" s="314" t="str">
        <f t="shared" ca="1" si="399"/>
        <v/>
      </c>
      <c r="Z865" s="315" t="str">
        <f t="shared" ca="1" si="400"/>
        <v/>
      </c>
      <c r="AA865" s="316" t="str">
        <f t="shared" ca="1" si="401"/>
        <v/>
      </c>
      <c r="AC865" s="310" t="e">
        <f t="shared" ca="1" si="402"/>
        <v>#N/A</v>
      </c>
      <c r="AD865" s="323" t="e">
        <f t="shared" ca="1" si="403"/>
        <v>#N/A</v>
      </c>
      <c r="AE865" s="324" t="e">
        <f t="shared" ca="1" si="382"/>
        <v>#N/A</v>
      </c>
      <c r="AG865" s="306">
        <f t="shared" ca="1" si="404"/>
        <v>1.3230665540540247</v>
      </c>
      <c r="AH865" s="304">
        <f t="shared" ca="1" si="405"/>
        <v>-8.4618195899722188</v>
      </c>
    </row>
    <row r="866" spans="1:34" x14ac:dyDescent="0.2">
      <c r="A866" s="347">
        <f t="shared" ca="1" si="383"/>
        <v>0.1</v>
      </c>
      <c r="B866" s="304">
        <f t="shared" ca="1" si="384"/>
        <v>54.200000000000429</v>
      </c>
      <c r="D866" s="306">
        <f t="shared" ca="1" si="385"/>
        <v>-0.60341536912379579</v>
      </c>
      <c r="E866" s="307">
        <f t="shared" ca="1" si="386"/>
        <v>-1.3420676967939666</v>
      </c>
      <c r="F866" s="304">
        <f t="shared" ca="1" si="387"/>
        <v>1.4714808223258191</v>
      </c>
      <c r="G866" s="306">
        <f t="shared" ca="1" si="388"/>
        <v>11.503632967990987</v>
      </c>
      <c r="H866" s="307">
        <f t="shared" ca="1" si="389"/>
        <v>-162.41537870222999</v>
      </c>
      <c r="I866" s="304">
        <f t="shared" ca="1" si="390"/>
        <v>162.82226140933872</v>
      </c>
      <c r="J866" s="306">
        <f t="shared" ca="1" si="391"/>
        <v>1352.2825916233467</v>
      </c>
      <c r="K866" s="307">
        <f t="shared" ca="1" si="392"/>
        <v>1104.1052334069673</v>
      </c>
      <c r="L866" s="304">
        <f t="shared" ca="1" si="377"/>
        <v>1745.771054303573</v>
      </c>
      <c r="M866" s="306">
        <f t="shared" ca="1" si="393"/>
        <v>-1.5000859414664061</v>
      </c>
      <c r="N866" s="304">
        <f t="shared" ca="1" si="394"/>
        <v>-85.948593352933713</v>
      </c>
      <c r="P866" s="310">
        <f t="shared" ca="1" si="395"/>
        <v>23</v>
      </c>
      <c r="Q866" s="304">
        <f t="shared" ca="1" si="396"/>
        <v>0</v>
      </c>
      <c r="R866" s="306">
        <f t="shared" ca="1" si="397"/>
        <v>0</v>
      </c>
      <c r="S866" s="307">
        <f t="shared" ca="1" si="398"/>
        <v>5.6519999999999806</v>
      </c>
      <c r="T866" s="304">
        <f t="shared" ca="1" si="378"/>
        <v>55.446119999999816</v>
      </c>
      <c r="U866" s="311">
        <f t="shared" ca="1" si="379"/>
        <v>0</v>
      </c>
      <c r="V866" s="306">
        <f t="shared" ca="1" si="380"/>
        <v>1.0968231456899167</v>
      </c>
      <c r="W866" s="304">
        <f t="shared" ca="1" si="381"/>
        <v>48.136912930114626</v>
      </c>
      <c r="Y866" s="314" t="str">
        <f t="shared" ca="1" si="399"/>
        <v/>
      </c>
      <c r="Z866" s="315" t="str">
        <f t="shared" ca="1" si="400"/>
        <v/>
      </c>
      <c r="AA866" s="316" t="str">
        <f t="shared" ca="1" si="401"/>
        <v/>
      </c>
      <c r="AC866" s="310" t="e">
        <f t="shared" ca="1" si="402"/>
        <v>#N/A</v>
      </c>
      <c r="AD866" s="323" t="e">
        <f t="shared" ca="1" si="403"/>
        <v>#N/A</v>
      </c>
      <c r="AE866" s="324" t="e">
        <f t="shared" ca="1" si="382"/>
        <v>#N/A</v>
      </c>
      <c r="AG866" s="306">
        <f t="shared" ca="1" si="404"/>
        <v>1.2957832771432845</v>
      </c>
      <c r="AH866" s="304">
        <f t="shared" ca="1" si="405"/>
        <v>-8.4894044313706161</v>
      </c>
    </row>
    <row r="867" spans="1:34" x14ac:dyDescent="0.2">
      <c r="A867" s="347">
        <f t="shared" ca="1" si="383"/>
        <v>0.1</v>
      </c>
      <c r="B867" s="304">
        <f t="shared" ca="1" si="384"/>
        <v>54.300000000000431</v>
      </c>
      <c r="D867" s="306">
        <f t="shared" ca="1" si="385"/>
        <v>-0.6017239758095172</v>
      </c>
      <c r="E867" s="307">
        <f t="shared" ca="1" si="386"/>
        <v>-1.3144901313135584</v>
      </c>
      <c r="F867" s="304">
        <f t="shared" ca="1" si="387"/>
        <v>1.4456680284161882</v>
      </c>
      <c r="G867" s="306">
        <f t="shared" ca="1" si="388"/>
        <v>11.443460570410036</v>
      </c>
      <c r="H867" s="307">
        <f t="shared" ca="1" si="389"/>
        <v>-162.54682771536133</v>
      </c>
      <c r="I867" s="304">
        <f t="shared" ca="1" si="390"/>
        <v>162.94914541093453</v>
      </c>
      <c r="J867" s="306">
        <f t="shared" ca="1" si="391"/>
        <v>1353.4299463002667</v>
      </c>
      <c r="K867" s="307">
        <f t="shared" ca="1" si="392"/>
        <v>1087.8571230860878</v>
      </c>
      <c r="L867" s="304">
        <f t="shared" ca="1" si="377"/>
        <v>1736.4347784444662</v>
      </c>
      <c r="M867" s="306">
        <f t="shared" ca="1" si="393"/>
        <v>-1.5005112833674668</v>
      </c>
      <c r="N867" s="304">
        <f t="shared" ca="1" si="394"/>
        <v>-85.972963648714568</v>
      </c>
      <c r="P867" s="310">
        <f t="shared" ca="1" si="395"/>
        <v>23</v>
      </c>
      <c r="Q867" s="304">
        <f t="shared" ca="1" si="396"/>
        <v>0</v>
      </c>
      <c r="R867" s="306">
        <f t="shared" ca="1" si="397"/>
        <v>0</v>
      </c>
      <c r="S867" s="307">
        <f t="shared" ca="1" si="398"/>
        <v>5.6519999999999806</v>
      </c>
      <c r="T867" s="304">
        <f t="shared" ca="1" si="378"/>
        <v>55.446119999999816</v>
      </c>
      <c r="U867" s="311">
        <f t="shared" ca="1" si="379"/>
        <v>0</v>
      </c>
      <c r="V867" s="306">
        <f t="shared" ca="1" si="380"/>
        <v>1.0986121012199428</v>
      </c>
      <c r="W867" s="304">
        <f t="shared" ca="1" si="381"/>
        <v>48.290601695084938</v>
      </c>
      <c r="Y867" s="314" t="str">
        <f t="shared" ca="1" si="399"/>
        <v/>
      </c>
      <c r="Z867" s="315" t="str">
        <f t="shared" ca="1" si="400"/>
        <v/>
      </c>
      <c r="AA867" s="316" t="str">
        <f t="shared" ca="1" si="401"/>
        <v/>
      </c>
      <c r="AC867" s="310" t="e">
        <f t="shared" ca="1" si="402"/>
        <v>#N/A</v>
      </c>
      <c r="AD867" s="323" t="e">
        <f t="shared" ca="1" si="403"/>
        <v>#N/A</v>
      </c>
      <c r="AE867" s="324" t="e">
        <f t="shared" ca="1" si="382"/>
        <v>#N/A</v>
      </c>
      <c r="AG867" s="306">
        <f t="shared" ca="1" si="404"/>
        <v>1.2686926156403029</v>
      </c>
      <c r="AH867" s="304">
        <f t="shared" ca="1" si="405"/>
        <v>-8.5167928043373653</v>
      </c>
    </row>
    <row r="868" spans="1:34" x14ac:dyDescent="0.2">
      <c r="A868" s="347">
        <f t="shared" ca="1" si="383"/>
        <v>0.1</v>
      </c>
      <c r="B868" s="304">
        <f t="shared" ca="1" si="384"/>
        <v>54.400000000000432</v>
      </c>
      <c r="D868" s="306">
        <f t="shared" ca="1" si="385"/>
        <v>-0.60002003770961376</v>
      </c>
      <c r="E868" s="307">
        <f t="shared" ca="1" si="386"/>
        <v>-1.2871101717655833</v>
      </c>
      <c r="F868" s="304">
        <f t="shared" ca="1" si="387"/>
        <v>1.4200974050801851</v>
      </c>
      <c r="G868" s="306">
        <f t="shared" ca="1" si="388"/>
        <v>11.383458566639074</v>
      </c>
      <c r="H868" s="307">
        <f t="shared" ca="1" si="389"/>
        <v>-162.67553873253789</v>
      </c>
      <c r="I868" s="304">
        <f t="shared" ca="1" si="390"/>
        <v>163.07333942389181</v>
      </c>
      <c r="J868" s="306">
        <f t="shared" ca="1" si="391"/>
        <v>1354.5712922571192</v>
      </c>
      <c r="K868" s="307">
        <f t="shared" ca="1" si="392"/>
        <v>1071.5960047636929</v>
      </c>
      <c r="L868" s="304">
        <f t="shared" ca="1" si="377"/>
        <v>1727.1888672732437</v>
      </c>
      <c r="M868" s="306">
        <f t="shared" ca="1" si="393"/>
        <v>-1.5009337489619898</v>
      </c>
      <c r="N868" s="304">
        <f t="shared" ca="1" si="394"/>
        <v>-85.997169144270217</v>
      </c>
      <c r="P868" s="310">
        <f t="shared" ca="1" si="395"/>
        <v>23</v>
      </c>
      <c r="Q868" s="304">
        <f t="shared" ca="1" si="396"/>
        <v>0</v>
      </c>
      <c r="R868" s="306">
        <f t="shared" ca="1" si="397"/>
        <v>0</v>
      </c>
      <c r="S868" s="307">
        <f t="shared" ca="1" si="398"/>
        <v>5.6519999999999806</v>
      </c>
      <c r="T868" s="304">
        <f t="shared" ca="1" si="378"/>
        <v>55.446119999999816</v>
      </c>
      <c r="U868" s="311">
        <f t="shared" ca="1" si="379"/>
        <v>0</v>
      </c>
      <c r="V868" s="306">
        <f t="shared" ca="1" si="380"/>
        <v>1.1004052511695119</v>
      </c>
      <c r="W868" s="304">
        <f t="shared" ca="1" si="381"/>
        <v>48.443180392568614</v>
      </c>
      <c r="Y868" s="314" t="str">
        <f t="shared" ca="1" si="399"/>
        <v/>
      </c>
      <c r="Z868" s="315" t="str">
        <f t="shared" ca="1" si="400"/>
        <v/>
      </c>
      <c r="AA868" s="316" t="str">
        <f t="shared" ca="1" si="401"/>
        <v/>
      </c>
      <c r="AC868" s="310" t="e">
        <f t="shared" ca="1" si="402"/>
        <v>#N/A</v>
      </c>
      <c r="AD868" s="323" t="e">
        <f t="shared" ca="1" si="403"/>
        <v>#N/A</v>
      </c>
      <c r="AE868" s="324" t="e">
        <f t="shared" ca="1" si="382"/>
        <v>#N/A</v>
      </c>
      <c r="AG868" s="306">
        <f t="shared" ca="1" si="404"/>
        <v>1.2417946052272164</v>
      </c>
      <c r="AH868" s="304">
        <f t="shared" ca="1" si="405"/>
        <v>-8.5439847301990621</v>
      </c>
    </row>
    <row r="869" spans="1:34" x14ac:dyDescent="0.2">
      <c r="A869" s="347">
        <f t="shared" ca="1" si="383"/>
        <v>0.1</v>
      </c>
      <c r="B869" s="304">
        <f t="shared" ca="1" si="384"/>
        <v>54.500000000000433</v>
      </c>
      <c r="D869" s="306">
        <f t="shared" ca="1" si="385"/>
        <v>-0.5983037995999666</v>
      </c>
      <c r="E869" s="307">
        <f t="shared" ca="1" si="386"/>
        <v>-1.2599277740697126</v>
      </c>
      <c r="F869" s="304">
        <f t="shared" ca="1" si="387"/>
        <v>1.3947707454947633</v>
      </c>
      <c r="G869" s="306">
        <f t="shared" ca="1" si="388"/>
        <v>11.323628186679077</v>
      </c>
      <c r="H869" s="307">
        <f t="shared" ca="1" si="389"/>
        <v>-162.80153150994485</v>
      </c>
      <c r="I869" s="304">
        <f t="shared" ca="1" si="390"/>
        <v>163.1948627172244</v>
      </c>
      <c r="J869" s="306">
        <f t="shared" ca="1" si="391"/>
        <v>1355.7066465947851</v>
      </c>
      <c r="K869" s="307">
        <f t="shared" ca="1" si="392"/>
        <v>1055.3221512515688</v>
      </c>
      <c r="L869" s="304">
        <f t="shared" ca="1" si="377"/>
        <v>1718.0353181886328</v>
      </c>
      <c r="M869" s="306">
        <f t="shared" ca="1" si="393"/>
        <v>-1.5013533666660439</v>
      </c>
      <c r="N869" s="304">
        <f t="shared" ca="1" si="394"/>
        <v>-86.021211467721486</v>
      </c>
      <c r="P869" s="310">
        <f t="shared" ca="1" si="395"/>
        <v>23</v>
      </c>
      <c r="Q869" s="304">
        <f t="shared" ca="1" si="396"/>
        <v>0</v>
      </c>
      <c r="R869" s="306">
        <f t="shared" ca="1" si="397"/>
        <v>0</v>
      </c>
      <c r="S869" s="307">
        <f t="shared" ca="1" si="398"/>
        <v>5.6519999999999806</v>
      </c>
      <c r="T869" s="304">
        <f t="shared" ca="1" si="378"/>
        <v>55.446119999999816</v>
      </c>
      <c r="U869" s="311">
        <f t="shared" ca="1" si="379"/>
        <v>0</v>
      </c>
      <c r="V869" s="306">
        <f t="shared" ca="1" si="380"/>
        <v>1.1022025784268203</v>
      </c>
      <c r="W869" s="304">
        <f t="shared" ca="1" si="381"/>
        <v>48.594649403346345</v>
      </c>
      <c r="Y869" s="314" t="str">
        <f t="shared" ca="1" si="399"/>
        <v/>
      </c>
      <c r="Z869" s="315" t="str">
        <f t="shared" ca="1" si="400"/>
        <v/>
      </c>
      <c r="AA869" s="316" t="str">
        <f t="shared" ca="1" si="401"/>
        <v/>
      </c>
      <c r="AC869" s="310" t="e">
        <f t="shared" ca="1" si="402"/>
        <v>#N/A</v>
      </c>
      <c r="AD869" s="323" t="e">
        <f t="shared" ca="1" si="403"/>
        <v>#N/A</v>
      </c>
      <c r="AE869" s="324" t="e">
        <f t="shared" ca="1" si="382"/>
        <v>#N/A</v>
      </c>
      <c r="AG869" s="306">
        <f t="shared" ca="1" si="404"/>
        <v>1.2150892573727372</v>
      </c>
      <c r="AH869" s="304">
        <f t="shared" ca="1" si="405"/>
        <v>-8.5709802534622757</v>
      </c>
    </row>
    <row r="870" spans="1:34" x14ac:dyDescent="0.2">
      <c r="A870" s="347">
        <f t="shared" ca="1" si="383"/>
        <v>0.1</v>
      </c>
      <c r="B870" s="304">
        <f t="shared" ca="1" si="384"/>
        <v>54.600000000000435</v>
      </c>
      <c r="D870" s="306">
        <f t="shared" ca="1" si="385"/>
        <v>-0.5965755049244007</v>
      </c>
      <c r="E870" s="307">
        <f t="shared" ca="1" si="386"/>
        <v>-1.2329428711492607</v>
      </c>
      <c r="F870" s="304">
        <f t="shared" ca="1" si="387"/>
        <v>1.3696899125691138</v>
      </c>
      <c r="G870" s="306">
        <f t="shared" ca="1" si="388"/>
        <v>11.263970636186636</v>
      </c>
      <c r="H870" s="307">
        <f t="shared" ca="1" si="389"/>
        <v>-162.92482579705978</v>
      </c>
      <c r="I870" s="304">
        <f t="shared" ca="1" si="390"/>
        <v>163.31373455865599</v>
      </c>
      <c r="J870" s="306">
        <f t="shared" ca="1" si="391"/>
        <v>1356.8360265359283</v>
      </c>
      <c r="K870" s="307">
        <f t="shared" ca="1" si="392"/>
        <v>1039.0358333862187</v>
      </c>
      <c r="L870" s="304">
        <f t="shared" ca="1" si="377"/>
        <v>1708.976145522927</v>
      </c>
      <c r="M870" s="306">
        <f t="shared" ca="1" si="393"/>
        <v>-1.5017701644750778</v>
      </c>
      <c r="N870" s="304">
        <f t="shared" ca="1" si="394"/>
        <v>-86.045092223089441</v>
      </c>
      <c r="P870" s="310">
        <f t="shared" ca="1" si="395"/>
        <v>23</v>
      </c>
      <c r="Q870" s="304">
        <f t="shared" ca="1" si="396"/>
        <v>0</v>
      </c>
      <c r="R870" s="306">
        <f t="shared" ca="1" si="397"/>
        <v>0</v>
      </c>
      <c r="S870" s="307">
        <f t="shared" ca="1" si="398"/>
        <v>5.6519999999999806</v>
      </c>
      <c r="T870" s="304">
        <f t="shared" ca="1" si="378"/>
        <v>55.446119999999816</v>
      </c>
      <c r="U870" s="311">
        <f t="shared" ca="1" si="379"/>
        <v>0</v>
      </c>
      <c r="V870" s="306">
        <f t="shared" ca="1" si="380"/>
        <v>1.1040040659678598</v>
      </c>
      <c r="W870" s="304">
        <f t="shared" ca="1" si="381"/>
        <v>48.745009235641199</v>
      </c>
      <c r="Y870" s="314" t="str">
        <f t="shared" ca="1" si="399"/>
        <v/>
      </c>
      <c r="Z870" s="315" t="str">
        <f t="shared" ca="1" si="400"/>
        <v/>
      </c>
      <c r="AA870" s="316" t="str">
        <f t="shared" ca="1" si="401"/>
        <v/>
      </c>
      <c r="AC870" s="310" t="e">
        <f t="shared" ca="1" si="402"/>
        <v>#N/A</v>
      </c>
      <c r="AD870" s="323" t="e">
        <f t="shared" ca="1" si="403"/>
        <v>#N/A</v>
      </c>
      <c r="AE870" s="324" t="e">
        <f t="shared" ca="1" si="382"/>
        <v>#N/A</v>
      </c>
      <c r="AG870" s="306">
        <f t="shared" ca="1" si="404"/>
        <v>1.1885765596704125</v>
      </c>
      <c r="AH870" s="304">
        <f t="shared" ca="1" si="405"/>
        <v>-8.597779441497968</v>
      </c>
    </row>
    <row r="871" spans="1:34" x14ac:dyDescent="0.2">
      <c r="A871" s="347">
        <f t="shared" ca="1" si="383"/>
        <v>0.1</v>
      </c>
      <c r="B871" s="304">
        <f t="shared" ca="1" si="384"/>
        <v>54.700000000000436</v>
      </c>
      <c r="D871" s="306">
        <f t="shared" ca="1" si="385"/>
        <v>-0.59483539577174072</v>
      </c>
      <c r="E871" s="307">
        <f t="shared" ca="1" si="386"/>
        <v>-1.2061553732489667</v>
      </c>
      <c r="F871" s="304">
        <f t="shared" ca="1" si="387"/>
        <v>1.3448568446047622</v>
      </c>
      <c r="G871" s="306">
        <f t="shared" ca="1" si="388"/>
        <v>11.204487096609462</v>
      </c>
      <c r="H871" s="307">
        <f t="shared" ca="1" si="389"/>
        <v>-163.04544133438469</v>
      </c>
      <c r="I871" s="304">
        <f t="shared" ca="1" si="390"/>
        <v>163.42997421226735</v>
      </c>
      <c r="J871" s="306">
        <f t="shared" ca="1" si="391"/>
        <v>1357.9594494225682</v>
      </c>
      <c r="K871" s="307">
        <f t="shared" ca="1" si="392"/>
        <v>1022.7373200296464</v>
      </c>
      <c r="L871" s="304">
        <f t="shared" ca="1" si="377"/>
        <v>1700.0133799642483</v>
      </c>
      <c r="M871" s="306">
        <f t="shared" ca="1" si="393"/>
        <v>-1.5021841699716996</v>
      </c>
      <c r="N871" s="304">
        <f t="shared" ca="1" si="394"/>
        <v>-86.06881299074108</v>
      </c>
      <c r="P871" s="310">
        <f t="shared" ca="1" si="395"/>
        <v>23</v>
      </c>
      <c r="Q871" s="304">
        <f t="shared" ca="1" si="396"/>
        <v>0</v>
      </c>
      <c r="R871" s="306">
        <f t="shared" ca="1" si="397"/>
        <v>0</v>
      </c>
      <c r="S871" s="307">
        <f t="shared" ca="1" si="398"/>
        <v>5.6519999999999806</v>
      </c>
      <c r="T871" s="304">
        <f t="shared" ca="1" si="378"/>
        <v>55.446119999999816</v>
      </c>
      <c r="U871" s="311">
        <f t="shared" ca="1" si="379"/>
        <v>0</v>
      </c>
      <c r="V871" s="306">
        <f t="shared" ca="1" si="380"/>
        <v>1.1058096968568745</v>
      </c>
      <c r="W871" s="304">
        <f t="shared" ca="1" si="381"/>
        <v>48.894260523328271</v>
      </c>
      <c r="Y871" s="314" t="str">
        <f t="shared" ca="1" si="399"/>
        <v/>
      </c>
      <c r="Z871" s="315" t="str">
        <f t="shared" ca="1" si="400"/>
        <v/>
      </c>
      <c r="AA871" s="316" t="str">
        <f t="shared" ca="1" si="401"/>
        <v/>
      </c>
      <c r="AC871" s="310" t="e">
        <f t="shared" ca="1" si="402"/>
        <v>#N/A</v>
      </c>
      <c r="AD871" s="323" t="e">
        <f t="shared" ca="1" si="403"/>
        <v>#N/A</v>
      </c>
      <c r="AE871" s="324" t="e">
        <f t="shared" ca="1" si="382"/>
        <v>#N/A</v>
      </c>
      <c r="AG871" s="306">
        <f t="shared" ca="1" si="404"/>
        <v>1.1622564761769318</v>
      </c>
      <c r="AH871" s="304">
        <f t="shared" ca="1" si="405"/>
        <v>-8.624382384225294</v>
      </c>
    </row>
    <row r="872" spans="1:34" x14ac:dyDescent="0.2">
      <c r="A872" s="347">
        <f t="shared" ca="1" si="383"/>
        <v>0.1</v>
      </c>
      <c r="B872" s="304">
        <f t="shared" ca="1" si="384"/>
        <v>54.800000000000438</v>
      </c>
      <c r="D872" s="306">
        <f t="shared" ca="1" si="385"/>
        <v>-0.5930837128534967</v>
      </c>
      <c r="E872" s="307">
        <f t="shared" ca="1" si="386"/>
        <v>-1.1795651682533688</v>
      </c>
      <c r="F872" s="304">
        <f t="shared" ca="1" si="387"/>
        <v>1.3202735612776191</v>
      </c>
      <c r="G872" s="306">
        <f t="shared" ca="1" si="388"/>
        <v>11.145178725324113</v>
      </c>
      <c r="H872" s="307">
        <f t="shared" ca="1" si="389"/>
        <v>-163.16339785121002</v>
      </c>
      <c r="I872" s="304">
        <f t="shared" ca="1" si="390"/>
        <v>163.54360093617746</v>
      </c>
      <c r="J872" s="306">
        <f t="shared" ca="1" si="391"/>
        <v>1359.076932713665</v>
      </c>
      <c r="K872" s="307">
        <f t="shared" ca="1" si="392"/>
        <v>1006.4268780703667</v>
      </c>
      <c r="L872" s="304">
        <f t="shared" ca="1" si="377"/>
        <v>1691.1490679230051</v>
      </c>
      <c r="M872" s="306">
        <f t="shared" ca="1" si="393"/>
        <v>-1.5025954103332868</v>
      </c>
      <c r="N872" s="304">
        <f t="shared" ca="1" si="394"/>
        <v>-86.092375327825465</v>
      </c>
      <c r="P872" s="310">
        <f t="shared" ca="1" si="395"/>
        <v>23</v>
      </c>
      <c r="Q872" s="304">
        <f t="shared" ca="1" si="396"/>
        <v>0</v>
      </c>
      <c r="R872" s="306">
        <f t="shared" ca="1" si="397"/>
        <v>0</v>
      </c>
      <c r="S872" s="307">
        <f t="shared" ca="1" si="398"/>
        <v>5.6519999999999806</v>
      </c>
      <c r="T872" s="304">
        <f t="shared" ca="1" si="378"/>
        <v>55.446119999999816</v>
      </c>
      <c r="U872" s="311">
        <f t="shared" ca="1" si="379"/>
        <v>0</v>
      </c>
      <c r="V872" s="306">
        <f t="shared" ca="1" si="380"/>
        <v>1.107619454246809</v>
      </c>
      <c r="W872" s="304">
        <f t="shared" ca="1" si="381"/>
        <v>49.042404024142087</v>
      </c>
      <c r="Y872" s="314" t="str">
        <f t="shared" ca="1" si="399"/>
        <v/>
      </c>
      <c r="Z872" s="315" t="str">
        <f t="shared" ca="1" si="400"/>
        <v/>
      </c>
      <c r="AA872" s="316" t="str">
        <f t="shared" ca="1" si="401"/>
        <v/>
      </c>
      <c r="AC872" s="310" t="e">
        <f t="shared" ca="1" si="402"/>
        <v>#N/A</v>
      </c>
      <c r="AD872" s="323" t="e">
        <f t="shared" ca="1" si="403"/>
        <v>#N/A</v>
      </c>
      <c r="AE872" s="324" t="e">
        <f t="shared" ca="1" si="382"/>
        <v>#N/A</v>
      </c>
      <c r="AG872" s="306">
        <f t="shared" ca="1" si="404"/>
        <v>1.1361289477504233</v>
      </c>
      <c r="AH872" s="304">
        <f t="shared" ca="1" si="405"/>
        <v>-8.6507891937948411</v>
      </c>
    </row>
    <row r="873" spans="1:34" x14ac:dyDescent="0.2">
      <c r="A873" s="347">
        <f t="shared" ca="1" si="383"/>
        <v>0.1</v>
      </c>
      <c r="B873" s="304">
        <f t="shared" ca="1" si="384"/>
        <v>54.900000000000439</v>
      </c>
      <c r="D873" s="306">
        <f t="shared" ca="1" si="385"/>
        <v>-0.59132069548219779</v>
      </c>
      <c r="E873" s="307">
        <f t="shared" ca="1" si="386"/>
        <v>-1.1531721220055875</v>
      </c>
      <c r="F873" s="304">
        <f t="shared" ca="1" si="387"/>
        <v>1.2959421699583742</v>
      </c>
      <c r="G873" s="306">
        <f t="shared" ca="1" si="388"/>
        <v>11.086046655775894</v>
      </c>
      <c r="H873" s="307">
        <f t="shared" ca="1" si="389"/>
        <v>-163.27871506341057</v>
      </c>
      <c r="I873" s="304">
        <f t="shared" ca="1" si="390"/>
        <v>163.65463398025872</v>
      </c>
      <c r="J873" s="306">
        <f t="shared" ca="1" si="391"/>
        <v>1360.18849398272</v>
      </c>
      <c r="K873" s="307">
        <f t="shared" ca="1" si="392"/>
        <v>990.10477242463571</v>
      </c>
      <c r="L873" s="304">
        <f t="shared" ca="1" si="377"/>
        <v>1682.3852708404872</v>
      </c>
      <c r="M873" s="306">
        <f t="shared" ca="1" si="393"/>
        <v>-1.5030039123394365</v>
      </c>
      <c r="N873" s="304">
        <f t="shared" ca="1" si="394"/>
        <v>-86.115780768700461</v>
      </c>
      <c r="P873" s="310">
        <f t="shared" ca="1" si="395"/>
        <v>23</v>
      </c>
      <c r="Q873" s="304">
        <f t="shared" ca="1" si="396"/>
        <v>0</v>
      </c>
      <c r="R873" s="306">
        <f t="shared" ca="1" si="397"/>
        <v>0</v>
      </c>
      <c r="S873" s="307">
        <f t="shared" ca="1" si="398"/>
        <v>5.6519999999999806</v>
      </c>
      <c r="T873" s="304">
        <f t="shared" ca="1" si="378"/>
        <v>55.446119999999816</v>
      </c>
      <c r="U873" s="311">
        <f t="shared" ca="1" si="379"/>
        <v>0</v>
      </c>
      <c r="V873" s="306">
        <f t="shared" ca="1" si="380"/>
        <v>1.1094333213797414</v>
      </c>
      <c r="W873" s="304">
        <f t="shared" ca="1" si="381"/>
        <v>49.189440617882184</v>
      </c>
      <c r="Y873" s="314" t="str">
        <f t="shared" ca="1" si="399"/>
        <v/>
      </c>
      <c r="Z873" s="315" t="str">
        <f t="shared" ca="1" si="400"/>
        <v/>
      </c>
      <c r="AA873" s="316" t="str">
        <f t="shared" ca="1" si="401"/>
        <v/>
      </c>
      <c r="AC873" s="310" t="e">
        <f t="shared" ca="1" si="402"/>
        <v>#N/A</v>
      </c>
      <c r="AD873" s="323" t="e">
        <f t="shared" ca="1" si="403"/>
        <v>#N/A</v>
      </c>
      <c r="AE873" s="324" t="e">
        <f t="shared" ca="1" si="382"/>
        <v>#N/A</v>
      </c>
      <c r="AG873" s="306">
        <f t="shared" ca="1" si="404"/>
        <v>1.1101938923886436</v>
      </c>
      <c r="AH873" s="304">
        <f t="shared" ca="1" si="405"/>
        <v>-8.6770000042714539</v>
      </c>
    </row>
    <row r="874" spans="1:34" x14ac:dyDescent="0.2">
      <c r="A874" s="347">
        <f t="shared" ca="1" si="383"/>
        <v>0.1</v>
      </c>
      <c r="B874" s="304">
        <f t="shared" ca="1" si="384"/>
        <v>55.000000000000441</v>
      </c>
      <c r="D874" s="306">
        <f t="shared" ca="1" si="385"/>
        <v>-0.58954658155034134</v>
      </c>
      <c r="E874" s="307">
        <f t="shared" ca="1" si="386"/>
        <v>-1.1269760786264058</v>
      </c>
      <c r="F874" s="304">
        <f t="shared" ca="1" si="387"/>
        <v>1.2718648723877251</v>
      </c>
      <c r="G874" s="306">
        <f t="shared" ca="1" si="388"/>
        <v>11.027091997620859</v>
      </c>
      <c r="H874" s="307">
        <f t="shared" ca="1" si="389"/>
        <v>-163.3914126712732</v>
      </c>
      <c r="I874" s="304">
        <f t="shared" ca="1" si="390"/>
        <v>163.76309258388562</v>
      </c>
      <c r="J874" s="306">
        <f t="shared" ca="1" si="391"/>
        <v>1361.29415091539</v>
      </c>
      <c r="K874" s="307">
        <f t="shared" ca="1" si="392"/>
        <v>973.77126603790157</v>
      </c>
      <c r="L874" s="304">
        <f t="shared" ca="1" si="377"/>
        <v>1673.7240644375975</v>
      </c>
      <c r="M874" s="306">
        <f t="shared" ca="1" si="393"/>
        <v>-1.5034097023792528</v>
      </c>
      <c r="N874" s="304">
        <f t="shared" ca="1" si="394"/>
        <v>-86.139030825350389</v>
      </c>
      <c r="P874" s="310">
        <f t="shared" ca="1" si="395"/>
        <v>23</v>
      </c>
      <c r="Q874" s="304">
        <f t="shared" ca="1" si="396"/>
        <v>0</v>
      </c>
      <c r="R874" s="306">
        <f t="shared" ca="1" si="397"/>
        <v>0</v>
      </c>
      <c r="S874" s="307">
        <f t="shared" ca="1" si="398"/>
        <v>5.6519999999999806</v>
      </c>
      <c r="T874" s="304">
        <f t="shared" ca="1" si="378"/>
        <v>55.446119999999816</v>
      </c>
      <c r="U874" s="311">
        <f t="shared" ca="1" si="379"/>
        <v>0</v>
      </c>
      <c r="V874" s="306">
        <f t="shared" ca="1" si="380"/>
        <v>1.1112512815873032</v>
      </c>
      <c r="W874" s="304">
        <f t="shared" ca="1" si="381"/>
        <v>49.335371304617155</v>
      </c>
      <c r="Y874" s="314" t="str">
        <f t="shared" ca="1" si="399"/>
        <v/>
      </c>
      <c r="Z874" s="315" t="str">
        <f t="shared" ca="1" si="400"/>
        <v/>
      </c>
      <c r="AA874" s="316" t="str">
        <f t="shared" ca="1" si="401"/>
        <v/>
      </c>
      <c r="AC874" s="310">
        <f t="shared" ca="1" si="402"/>
        <v>55.000000000000441</v>
      </c>
      <c r="AD874" s="323">
        <f t="shared" ca="1" si="403"/>
        <v>1361.29415091539</v>
      </c>
      <c r="AE874" s="324" t="e">
        <f t="shared" ca="1" si="382"/>
        <v>#N/A</v>
      </c>
      <c r="AG874" s="306">
        <f t="shared" ca="1" si="404"/>
        <v>1.0844512055668964</v>
      </c>
      <c r="AH874" s="304">
        <f t="shared" ca="1" si="405"/>
        <v>-8.7030149713167653</v>
      </c>
    </row>
    <row r="875" spans="1:34" x14ac:dyDescent="0.2">
      <c r="A875" s="347">
        <f t="shared" ca="1" si="383"/>
        <v>0.1</v>
      </c>
      <c r="B875" s="304">
        <f t="shared" ca="1" si="384"/>
        <v>55.100000000000442</v>
      </c>
      <c r="D875" s="306">
        <f t="shared" ca="1" si="385"/>
        <v>-0.58776160750999085</v>
      </c>
      <c r="E875" s="307">
        <f t="shared" ca="1" si="386"/>
        <v>-1.1009768608336721</v>
      </c>
      <c r="F875" s="304">
        <f t="shared" ca="1" si="387"/>
        <v>1.2480439717229099</v>
      </c>
      <c r="G875" s="306">
        <f t="shared" ca="1" si="388"/>
        <v>10.968315836869861</v>
      </c>
      <c r="H875" s="307">
        <f t="shared" ca="1" si="389"/>
        <v>-163.50151035735658</v>
      </c>
      <c r="I875" s="304">
        <f t="shared" ca="1" si="390"/>
        <v>163.86899597371709</v>
      </c>
      <c r="J875" s="306">
        <f t="shared" ca="1" si="391"/>
        <v>1362.3939213071146</v>
      </c>
      <c r="K875" s="307">
        <f t="shared" ca="1" si="392"/>
        <v>957.42661988647012</v>
      </c>
      <c r="L875" s="304">
        <f t="shared" ca="1" si="377"/>
        <v>1665.1675379017595</v>
      </c>
      <c r="M875" s="306">
        <f t="shared" ca="1" si="393"/>
        <v>-1.5038128064584797</v>
      </c>
      <c r="N875" s="304">
        <f t="shared" ca="1" si="394"/>
        <v>-86.162126987794593</v>
      </c>
      <c r="P875" s="310">
        <f t="shared" ca="1" si="395"/>
        <v>23</v>
      </c>
      <c r="Q875" s="304">
        <f t="shared" ca="1" si="396"/>
        <v>0</v>
      </c>
      <c r="R875" s="306">
        <f t="shared" ca="1" si="397"/>
        <v>0</v>
      </c>
      <c r="S875" s="307">
        <f t="shared" ca="1" si="398"/>
        <v>5.6519999999999806</v>
      </c>
      <c r="T875" s="304">
        <f t="shared" ca="1" si="378"/>
        <v>55.446119999999816</v>
      </c>
      <c r="U875" s="311">
        <f t="shared" ca="1" si="379"/>
        <v>0</v>
      </c>
      <c r="V875" s="306">
        <f t="shared" ca="1" si="380"/>
        <v>1.1130733182910908</v>
      </c>
      <c r="W875" s="304">
        <f t="shared" ca="1" si="381"/>
        <v>49.480197202888185</v>
      </c>
      <c r="Y875" s="314" t="str">
        <f t="shared" ca="1" si="399"/>
        <v/>
      </c>
      <c r="Z875" s="315" t="str">
        <f t="shared" ca="1" si="400"/>
        <v/>
      </c>
      <c r="AA875" s="316" t="str">
        <f t="shared" ca="1" si="401"/>
        <v/>
      </c>
      <c r="AC875" s="310" t="e">
        <f t="shared" ca="1" si="402"/>
        <v>#N/A</v>
      </c>
      <c r="AD875" s="323" t="e">
        <f t="shared" ca="1" si="403"/>
        <v>#N/A</v>
      </c>
      <c r="AE875" s="324" t="e">
        <f t="shared" ca="1" si="382"/>
        <v>#N/A</v>
      </c>
      <c r="AG875" s="306">
        <f t="shared" ca="1" si="404"/>
        <v>1.0589007605757619</v>
      </c>
      <c r="AH875" s="304">
        <f t="shared" ca="1" si="405"/>
        <v>-8.7288342718714311</v>
      </c>
    </row>
    <row r="876" spans="1:34" x14ac:dyDescent="0.2">
      <c r="A876" s="347">
        <f t="shared" ca="1" si="383"/>
        <v>0.1</v>
      </c>
      <c r="B876" s="304">
        <f t="shared" ca="1" si="384"/>
        <v>55.200000000000443</v>
      </c>
      <c r="D876" s="306">
        <f t="shared" ca="1" si="385"/>
        <v>-0.58596600835299661</v>
      </c>
      <c r="E876" s="307">
        <f t="shared" ca="1" si="386"/>
        <v>-1.0751742702617566</v>
      </c>
      <c r="F876" s="304">
        <f t="shared" ca="1" si="387"/>
        <v>1.2244818799712982</v>
      </c>
      <c r="G876" s="306">
        <f t="shared" ca="1" si="388"/>
        <v>10.909719236034562</v>
      </c>
      <c r="H876" s="307">
        <f t="shared" ca="1" si="389"/>
        <v>-163.60902778438276</v>
      </c>
      <c r="I876" s="304">
        <f t="shared" ca="1" si="390"/>
        <v>163.97236336151295</v>
      </c>
      <c r="J876" s="306">
        <f t="shared" ca="1" si="391"/>
        <v>1363.4878230607599</v>
      </c>
      <c r="K876" s="307">
        <f t="shared" ca="1" si="392"/>
        <v>941.07109297938314</v>
      </c>
      <c r="L876" s="304">
        <f t="shared" ca="1" si="377"/>
        <v>1656.7177930101375</v>
      </c>
      <c r="M876" s="306">
        <f t="shared" ca="1" si="393"/>
        <v>-1.5042132502064853</v>
      </c>
      <c r="N876" s="304">
        <f t="shared" ca="1" si="394"/>
        <v>-86.185070724487716</v>
      </c>
      <c r="P876" s="310">
        <f t="shared" ca="1" si="395"/>
        <v>23</v>
      </c>
      <c r="Q876" s="304">
        <f t="shared" ca="1" si="396"/>
        <v>0</v>
      </c>
      <c r="R876" s="306">
        <f t="shared" ca="1" si="397"/>
        <v>0</v>
      </c>
      <c r="S876" s="307">
        <f t="shared" ca="1" si="398"/>
        <v>5.6519999999999806</v>
      </c>
      <c r="T876" s="304">
        <f t="shared" ca="1" si="378"/>
        <v>55.446119999999816</v>
      </c>
      <c r="U876" s="311">
        <f t="shared" ca="1" si="379"/>
        <v>0</v>
      </c>
      <c r="V876" s="306">
        <f t="shared" ca="1" si="380"/>
        <v>1.1148994150030627</v>
      </c>
      <c r="W876" s="304">
        <f t="shared" ca="1" si="381"/>
        <v>49.623919547912458</v>
      </c>
      <c r="Y876" s="314" t="str">
        <f t="shared" ca="1" si="399"/>
        <v/>
      </c>
      <c r="Z876" s="315" t="str">
        <f t="shared" ca="1" si="400"/>
        <v/>
      </c>
      <c r="AA876" s="316" t="str">
        <f t="shared" ca="1" si="401"/>
        <v/>
      </c>
      <c r="AC876" s="310" t="e">
        <f t="shared" ca="1" si="402"/>
        <v>#N/A</v>
      </c>
      <c r="AD876" s="323" t="e">
        <f t="shared" ca="1" si="403"/>
        <v>#N/A</v>
      </c>
      <c r="AE876" s="324" t="e">
        <f t="shared" ca="1" si="382"/>
        <v>#N/A</v>
      </c>
      <c r="AG876" s="306">
        <f t="shared" ca="1" si="404"/>
        <v>1.0335424088583842</v>
      </c>
      <c r="AH876" s="304">
        <f t="shared" ca="1" si="405"/>
        <v>-8.7544581038372886</v>
      </c>
    </row>
    <row r="877" spans="1:34" x14ac:dyDescent="0.2">
      <c r="A877" s="347">
        <f t="shared" ca="1" si="383"/>
        <v>0.1</v>
      </c>
      <c r="B877" s="304">
        <f t="shared" ca="1" si="384"/>
        <v>55.300000000000445</v>
      </c>
      <c r="D877" s="306">
        <f t="shared" ca="1" si="385"/>
        <v>-0.58416001759182168</v>
      </c>
      <c r="E877" s="307">
        <f t="shared" ca="1" si="386"/>
        <v>-1.0495680877810685</v>
      </c>
      <c r="F877" s="304">
        <f t="shared" ca="1" si="387"/>
        <v>1.2011811258262786</v>
      </c>
      <c r="G877" s="306">
        <f t="shared" ca="1" si="388"/>
        <v>10.851303234275379</v>
      </c>
      <c r="H877" s="307">
        <f t="shared" ca="1" si="389"/>
        <v>-163.71398459316086</v>
      </c>
      <c r="I877" s="304">
        <f t="shared" ca="1" si="390"/>
        <v>164.07321394198357</v>
      </c>
      <c r="J877" s="306">
        <f t="shared" ca="1" si="391"/>
        <v>1364.5758741842753</v>
      </c>
      <c r="K877" s="307">
        <f t="shared" ca="1" si="392"/>
        <v>924.70494236050592</v>
      </c>
      <c r="L877" s="304">
        <f t="shared" ca="1" si="377"/>
        <v>1648.3769431873664</v>
      </c>
      <c r="M877" s="306">
        <f t="shared" ca="1" si="393"/>
        <v>-1.5046110588830943</v>
      </c>
      <c r="N877" s="304">
        <f t="shared" ca="1" si="394"/>
        <v>-86.20786348271109</v>
      </c>
      <c r="P877" s="310">
        <f t="shared" ca="1" si="395"/>
        <v>23</v>
      </c>
      <c r="Q877" s="304">
        <f t="shared" ca="1" si="396"/>
        <v>0</v>
      </c>
      <c r="R877" s="306">
        <f t="shared" ca="1" si="397"/>
        <v>0</v>
      </c>
      <c r="S877" s="307">
        <f t="shared" ca="1" si="398"/>
        <v>5.6519999999999806</v>
      </c>
      <c r="T877" s="304">
        <f t="shared" ca="1" si="378"/>
        <v>55.446119999999816</v>
      </c>
      <c r="U877" s="311">
        <f t="shared" ca="1" si="379"/>
        <v>0</v>
      </c>
      <c r="V877" s="306">
        <f t="shared" ca="1" si="380"/>
        <v>1.1167295553259224</v>
      </c>
      <c r="W877" s="304">
        <f t="shared" ca="1" si="381"/>
        <v>49.766539689786541</v>
      </c>
      <c r="Y877" s="314" t="str">
        <f t="shared" ca="1" si="399"/>
        <v/>
      </c>
      <c r="Z877" s="315" t="str">
        <f t="shared" ca="1" si="400"/>
        <v/>
      </c>
      <c r="AA877" s="316" t="str">
        <f t="shared" ca="1" si="401"/>
        <v/>
      </c>
      <c r="AC877" s="310" t="e">
        <f t="shared" ca="1" si="402"/>
        <v>#N/A</v>
      </c>
      <c r="AD877" s="323" t="e">
        <f t="shared" ca="1" si="403"/>
        <v>#N/A</v>
      </c>
      <c r="AE877" s="324" t="e">
        <f t="shared" ca="1" si="382"/>
        <v>#N/A</v>
      </c>
      <c r="AG877" s="306">
        <f t="shared" ca="1" si="404"/>
        <v>1.0083759803473082</v>
      </c>
      <c r="AH877" s="304">
        <f t="shared" ca="1" si="405"/>
        <v>-8.7798866857594877</v>
      </c>
    </row>
    <row r="878" spans="1:34" x14ac:dyDescent="0.2">
      <c r="A878" s="347">
        <f t="shared" ca="1" si="383"/>
        <v>0.1</v>
      </c>
      <c r="B878" s="304">
        <f t="shared" ca="1" si="384"/>
        <v>55.400000000000446</v>
      </c>
      <c r="D878" s="306">
        <f t="shared" ca="1" si="385"/>
        <v>-0.5823438672410064</v>
      </c>
      <c r="E878" s="307">
        <f t="shared" ca="1" si="386"/>
        <v>-1.0241580738175582</v>
      </c>
      <c r="F878" s="304">
        <f t="shared" ca="1" si="387"/>
        <v>1.1781443629194606</v>
      </c>
      <c r="G878" s="306">
        <f t="shared" ca="1" si="388"/>
        <v>10.793068847551279</v>
      </c>
      <c r="H878" s="307">
        <f t="shared" ca="1" si="389"/>
        <v>-163.81640040054262</v>
      </c>
      <c r="I878" s="304">
        <f t="shared" ca="1" si="390"/>
        <v>164.17156689067349</v>
      </c>
      <c r="J878" s="306">
        <f t="shared" ca="1" si="391"/>
        <v>1365.6580927883667</v>
      </c>
      <c r="K878" s="307">
        <f t="shared" ca="1" si="392"/>
        <v>908.32842311082072</v>
      </c>
      <c r="L878" s="304">
        <f t="shared" ca="1" si="377"/>
        <v>1640.1471124961167</v>
      </c>
      <c r="M878" s="306">
        <f t="shared" ca="1" si="393"/>
        <v>-1.5050062573852796</v>
      </c>
      <c r="N878" s="304">
        <f t="shared" ca="1" si="394"/>
        <v>-86.230506688956211</v>
      </c>
      <c r="P878" s="310">
        <f t="shared" ca="1" si="395"/>
        <v>23</v>
      </c>
      <c r="Q878" s="304">
        <f t="shared" ca="1" si="396"/>
        <v>0</v>
      </c>
      <c r="R878" s="306">
        <f t="shared" ca="1" si="397"/>
        <v>0</v>
      </c>
      <c r="S878" s="307">
        <f t="shared" ca="1" si="398"/>
        <v>5.6519999999999806</v>
      </c>
      <c r="T878" s="304">
        <f t="shared" ca="1" si="378"/>
        <v>55.446119999999816</v>
      </c>
      <c r="U878" s="311">
        <f t="shared" ca="1" si="379"/>
        <v>0</v>
      </c>
      <c r="V878" s="306">
        <f t="shared" ca="1" si="380"/>
        <v>1.1185637229534966</v>
      </c>
      <c r="W878" s="304">
        <f t="shared" ca="1" si="381"/>
        <v>49.908059091691172</v>
      </c>
      <c r="Y878" s="314" t="str">
        <f t="shared" ca="1" si="399"/>
        <v/>
      </c>
      <c r="Z878" s="315" t="str">
        <f t="shared" ca="1" si="400"/>
        <v/>
      </c>
      <c r="AA878" s="316" t="str">
        <f t="shared" ca="1" si="401"/>
        <v/>
      </c>
      <c r="AC878" s="310" t="e">
        <f t="shared" ca="1" si="402"/>
        <v>#N/A</v>
      </c>
      <c r="AD878" s="323" t="e">
        <f t="shared" ca="1" si="403"/>
        <v>#N/A</v>
      </c>
      <c r="AE878" s="324" t="e">
        <f t="shared" ca="1" si="382"/>
        <v>#N/A</v>
      </c>
      <c r="AG878" s="306">
        <f t="shared" ca="1" si="404"/>
        <v>0.98340128380083947</v>
      </c>
      <c r="AH878" s="304">
        <f t="shared" ca="1" si="405"/>
        <v>-8.8051202565086193</v>
      </c>
    </row>
    <row r="879" spans="1:34" x14ac:dyDescent="0.2">
      <c r="A879" s="347">
        <f t="shared" ca="1" si="383"/>
        <v>0.1</v>
      </c>
      <c r="B879" s="304">
        <f t="shared" ca="1" si="384"/>
        <v>55.500000000000448</v>
      </c>
      <c r="D879" s="306">
        <f t="shared" ca="1" si="385"/>
        <v>-0.58051778779922514</v>
      </c>
      <c r="E879" s="307">
        <f t="shared" ca="1" si="386"/>
        <v>-0.99894396867199831</v>
      </c>
      <c r="F879" s="304">
        <f t="shared" ca="1" si="387"/>
        <v>1.1553743785013879</v>
      </c>
      <c r="G879" s="306">
        <f t="shared" ca="1" si="388"/>
        <v>10.735017068771356</v>
      </c>
      <c r="H879" s="307">
        <f t="shared" ca="1" si="389"/>
        <v>-163.91629479740982</v>
      </c>
      <c r="I879" s="304">
        <f t="shared" ca="1" si="390"/>
        <v>164.26744136187844</v>
      </c>
      <c r="J879" s="306">
        <f t="shared" ca="1" si="391"/>
        <v>1366.7344970841827</v>
      </c>
      <c r="K879" s="307">
        <f t="shared" ca="1" si="392"/>
        <v>891.94178835092305</v>
      </c>
      <c r="L879" s="304">
        <f t="shared" ca="1" si="377"/>
        <v>1632.0304345589259</v>
      </c>
      <c r="M879" s="306">
        <f t="shared" ca="1" si="393"/>
        <v>-1.5053988702537111</v>
      </c>
      <c r="N879" s="304">
        <f t="shared" ca="1" si="394"/>
        <v>-86.253001749299855</v>
      </c>
      <c r="P879" s="310">
        <f t="shared" ca="1" si="395"/>
        <v>23</v>
      </c>
      <c r="Q879" s="304">
        <f t="shared" ca="1" si="396"/>
        <v>0</v>
      </c>
      <c r="R879" s="306">
        <f t="shared" ca="1" si="397"/>
        <v>0</v>
      </c>
      <c r="S879" s="307">
        <f t="shared" ca="1" si="398"/>
        <v>5.6519999999999806</v>
      </c>
      <c r="T879" s="304">
        <f t="shared" ca="1" si="378"/>
        <v>55.446119999999816</v>
      </c>
      <c r="U879" s="311">
        <f t="shared" ca="1" si="379"/>
        <v>0</v>
      </c>
      <c r="V879" s="306">
        <f t="shared" ca="1" si="380"/>
        <v>1.1204019016710915</v>
      </c>
      <c r="W879" s="304">
        <f t="shared" ca="1" si="381"/>
        <v>50.048479328096903</v>
      </c>
      <c r="Y879" s="314" t="str">
        <f t="shared" ca="1" si="399"/>
        <v/>
      </c>
      <c r="Z879" s="315" t="str">
        <f t="shared" ca="1" si="400"/>
        <v/>
      </c>
      <c r="AA879" s="316" t="str">
        <f t="shared" ca="1" si="401"/>
        <v/>
      </c>
      <c r="AC879" s="310" t="e">
        <f t="shared" ca="1" si="402"/>
        <v>#N/A</v>
      </c>
      <c r="AD879" s="323" t="e">
        <f t="shared" ca="1" si="403"/>
        <v>#N/A</v>
      </c>
      <c r="AE879" s="324" t="e">
        <f t="shared" ca="1" si="382"/>
        <v>#N/A</v>
      </c>
      <c r="AG879" s="306">
        <f t="shared" ca="1" si="404"/>
        <v>0.95861810713871165</v>
      </c>
      <c r="AH879" s="304">
        <f t="shared" ca="1" si="405"/>
        <v>-8.8301590749630829</v>
      </c>
    </row>
    <row r="880" spans="1:34" x14ac:dyDescent="0.2">
      <c r="A880" s="347">
        <f t="shared" ca="1" si="383"/>
        <v>0.1</v>
      </c>
      <c r="B880" s="304">
        <f t="shared" ca="1" si="384"/>
        <v>55.600000000000449</v>
      </c>
      <c r="D880" s="306">
        <f t="shared" ca="1" si="385"/>
        <v>-0.57868200823196569</v>
      </c>
      <c r="E880" s="307">
        <f t="shared" ca="1" si="386"/>
        <v>-0.97392549283908458</v>
      </c>
      <c r="F880" s="304">
        <f t="shared" ca="1" si="387"/>
        <v>1.132874102560931</v>
      </c>
      <c r="G880" s="306">
        <f t="shared" ca="1" si="388"/>
        <v>10.677148867948159</v>
      </c>
      <c r="H880" s="307">
        <f t="shared" ca="1" si="389"/>
        <v>-164.01368734669373</v>
      </c>
      <c r="I880" s="304">
        <f t="shared" ca="1" si="390"/>
        <v>164.36085648659576</v>
      </c>
      <c r="J880" s="306">
        <f t="shared" ca="1" si="391"/>
        <v>1367.8051053810186</v>
      </c>
      <c r="K880" s="307">
        <f t="shared" ca="1" si="392"/>
        <v>875.54528924371789</v>
      </c>
      <c r="L880" s="304">
        <f t="shared" ca="1" si="377"/>
        <v>1624.0290514098708</v>
      </c>
      <c r="M880" s="306">
        <f t="shared" ca="1" si="393"/>
        <v>-1.5057889216791693</v>
      </c>
      <c r="N880" s="304">
        <f t="shared" ca="1" si="394"/>
        <v>-86.275350049771674</v>
      </c>
      <c r="P880" s="310">
        <f t="shared" ca="1" si="395"/>
        <v>23</v>
      </c>
      <c r="Q880" s="304">
        <f t="shared" ca="1" si="396"/>
        <v>0</v>
      </c>
      <c r="R880" s="306">
        <f t="shared" ca="1" si="397"/>
        <v>0</v>
      </c>
      <c r="S880" s="307">
        <f t="shared" ca="1" si="398"/>
        <v>5.6519999999999806</v>
      </c>
      <c r="T880" s="304">
        <f t="shared" ca="1" si="378"/>
        <v>55.446119999999816</v>
      </c>
      <c r="U880" s="311">
        <f t="shared" ca="1" si="379"/>
        <v>0</v>
      </c>
      <c r="V880" s="306">
        <f t="shared" ca="1" si="380"/>
        <v>1.1222440753558482</v>
      </c>
      <c r="W880" s="304">
        <f t="shared" ca="1" si="381"/>
        <v>50.187802082972055</v>
      </c>
      <c r="Y880" s="314" t="str">
        <f t="shared" ca="1" si="399"/>
        <v/>
      </c>
      <c r="Z880" s="315" t="str">
        <f t="shared" ca="1" si="400"/>
        <v/>
      </c>
      <c r="AA880" s="316" t="str">
        <f t="shared" ca="1" si="401"/>
        <v/>
      </c>
      <c r="AC880" s="310" t="e">
        <f t="shared" ca="1" si="402"/>
        <v>#N/A</v>
      </c>
      <c r="AD880" s="323" t="e">
        <f t="shared" ca="1" si="403"/>
        <v>#N/A</v>
      </c>
      <c r="AE880" s="324" t="e">
        <f t="shared" ca="1" si="382"/>
        <v>#N/A</v>
      </c>
      <c r="AG880" s="306">
        <f t="shared" ca="1" si="404"/>
        <v>0.9340262177771379</v>
      </c>
      <c r="AH880" s="304">
        <f t="shared" ca="1" si="405"/>
        <v>-8.8550034196916272</v>
      </c>
    </row>
    <row r="881" spans="1:34" x14ac:dyDescent="0.2">
      <c r="A881" s="347">
        <f t="shared" ca="1" si="383"/>
        <v>0.1</v>
      </c>
      <c r="B881" s="304">
        <f t="shared" ca="1" si="384"/>
        <v>55.70000000000045</v>
      </c>
      <c r="D881" s="306">
        <f t="shared" ca="1" si="385"/>
        <v>-0.57683675595479578</v>
      </c>
      <c r="E881" s="307">
        <f t="shared" ca="1" si="386"/>
        <v>-0.94910234732616949</v>
      </c>
      <c r="F881" s="304">
        <f t="shared" ca="1" si="387"/>
        <v>1.110646617390292</v>
      </c>
      <c r="G881" s="306">
        <f t="shared" ca="1" si="388"/>
        <v>10.619465192352679</v>
      </c>
      <c r="H881" s="307">
        <f t="shared" ca="1" si="389"/>
        <v>-164.10859758142635</v>
      </c>
      <c r="I881" s="304">
        <f t="shared" ca="1" si="390"/>
        <v>164.45183137050839</v>
      </c>
      <c r="J881" s="306">
        <f t="shared" ca="1" si="391"/>
        <v>1368.8699360840337</v>
      </c>
      <c r="K881" s="307">
        <f t="shared" ca="1" si="392"/>
        <v>859.1391749973119</v>
      </c>
      <c r="L881" s="304">
        <f t="shared" ca="1" si="377"/>
        <v>1616.1451122748131</v>
      </c>
      <c r="M881" s="306">
        <f t="shared" ca="1" si="393"/>
        <v>-1.5061764355088232</v>
      </c>
      <c r="N881" s="304">
        <f t="shared" ca="1" si="394"/>
        <v>-86.297552956713787</v>
      </c>
      <c r="P881" s="310">
        <f t="shared" ca="1" si="395"/>
        <v>23</v>
      </c>
      <c r="Q881" s="304">
        <f t="shared" ca="1" si="396"/>
        <v>0</v>
      </c>
      <c r="R881" s="306">
        <f t="shared" ca="1" si="397"/>
        <v>0</v>
      </c>
      <c r="S881" s="307">
        <f t="shared" ca="1" si="398"/>
        <v>5.6519999999999806</v>
      </c>
      <c r="T881" s="304">
        <f t="shared" ca="1" si="378"/>
        <v>55.446119999999816</v>
      </c>
      <c r="U881" s="311">
        <f t="shared" ca="1" si="379"/>
        <v>0</v>
      </c>
      <c r="V881" s="306">
        <f t="shared" ca="1" si="380"/>
        <v>1.1240902279770766</v>
      </c>
      <c r="W881" s="304">
        <f t="shared" ca="1" si="381"/>
        <v>50.326029147992713</v>
      </c>
      <c r="Y881" s="314" t="str">
        <f t="shared" ca="1" si="399"/>
        <v/>
      </c>
      <c r="Z881" s="315" t="str">
        <f t="shared" ca="1" si="400"/>
        <v/>
      </c>
      <c r="AA881" s="316" t="str">
        <f t="shared" ca="1" si="401"/>
        <v/>
      </c>
      <c r="AC881" s="310" t="e">
        <f t="shared" ca="1" si="402"/>
        <v>#N/A</v>
      </c>
      <c r="AD881" s="323" t="e">
        <f t="shared" ca="1" si="403"/>
        <v>#N/A</v>
      </c>
      <c r="AE881" s="324" t="e">
        <f t="shared" ca="1" si="382"/>
        <v>#N/A</v>
      </c>
      <c r="AG881" s="306">
        <f t="shared" ca="1" si="404"/>
        <v>0.90962536296302687</v>
      </c>
      <c r="AH881" s="304">
        <f t="shared" ca="1" si="405"/>
        <v>-8.8796535886362751</v>
      </c>
    </row>
    <row r="882" spans="1:34" x14ac:dyDescent="0.2">
      <c r="A882" s="347">
        <f t="shared" ca="1" si="383"/>
        <v>0.1</v>
      </c>
      <c r="B882" s="304">
        <f t="shared" ca="1" si="384"/>
        <v>55.800000000000452</v>
      </c>
      <c r="D882" s="306">
        <f t="shared" ca="1" si="385"/>
        <v>-0.57498225681724047</v>
      </c>
      <c r="E882" s="307">
        <f t="shared" ca="1" si="386"/>
        <v>-0.92447421397159779</v>
      </c>
      <c r="F882" s="304">
        <f t="shared" ca="1" si="387"/>
        <v>1.0886951675988328</v>
      </c>
      <c r="G882" s="306">
        <f t="shared" ca="1" si="388"/>
        <v>10.561966966670955</v>
      </c>
      <c r="H882" s="307">
        <f t="shared" ca="1" si="389"/>
        <v>-164.20104500282352</v>
      </c>
      <c r="I882" s="304">
        <f t="shared" ca="1" si="390"/>
        <v>164.54038509200203</v>
      </c>
      <c r="J882" s="306">
        <f t="shared" ca="1" si="391"/>
        <v>1369.9290076919849</v>
      </c>
      <c r="K882" s="307">
        <f t="shared" ca="1" si="392"/>
        <v>842.72369286809942</v>
      </c>
      <c r="L882" s="304">
        <f t="shared" ca="1" si="377"/>
        <v>1608.3807722791246</v>
      </c>
      <c r="M882" s="306">
        <f t="shared" ca="1" si="393"/>
        <v>-1.5065614352523791</v>
      </c>
      <c r="N882" s="304">
        <f t="shared" ca="1" si="394"/>
        <v>-86.319611817133165</v>
      </c>
      <c r="P882" s="310">
        <f t="shared" ca="1" si="395"/>
        <v>23</v>
      </c>
      <c r="Q882" s="304">
        <f t="shared" ca="1" si="396"/>
        <v>0</v>
      </c>
      <c r="R882" s="306">
        <f t="shared" ca="1" si="397"/>
        <v>0</v>
      </c>
      <c r="S882" s="307">
        <f t="shared" ca="1" si="398"/>
        <v>5.6519999999999806</v>
      </c>
      <c r="T882" s="304">
        <f t="shared" ca="1" si="378"/>
        <v>55.446119999999816</v>
      </c>
      <c r="U882" s="311">
        <f t="shared" ca="1" si="379"/>
        <v>0</v>
      </c>
      <c r="V882" s="306">
        <f t="shared" ca="1" si="380"/>
        <v>1.1259403435965847</v>
      </c>
      <c r="W882" s="304">
        <f t="shared" ca="1" si="381"/>
        <v>50.463162420755872</v>
      </c>
      <c r="Y882" s="314" t="str">
        <f t="shared" ca="1" si="399"/>
        <v/>
      </c>
      <c r="Z882" s="315" t="str">
        <f t="shared" ca="1" si="400"/>
        <v/>
      </c>
      <c r="AA882" s="316" t="str">
        <f t="shared" ca="1" si="401"/>
        <v/>
      </c>
      <c r="AC882" s="310" t="e">
        <f t="shared" ca="1" si="402"/>
        <v>#N/A</v>
      </c>
      <c r="AD882" s="323" t="e">
        <f t="shared" ca="1" si="403"/>
        <v>#N/A</v>
      </c>
      <c r="AE882" s="324" t="e">
        <f t="shared" ca="1" si="382"/>
        <v>#N/A</v>
      </c>
      <c r="AG882" s="306">
        <f t="shared" ca="1" si="404"/>
        <v>0.88541527010742804</v>
      </c>
      <c r="AH882" s="304">
        <f t="shared" ca="1" si="405"/>
        <v>-8.9041098987956282</v>
      </c>
    </row>
    <row r="883" spans="1:34" x14ac:dyDescent="0.2">
      <c r="A883" s="347">
        <f t="shared" ca="1" si="383"/>
        <v>0.1</v>
      </c>
      <c r="B883" s="304">
        <f t="shared" ca="1" si="384"/>
        <v>55.900000000000453</v>
      </c>
      <c r="D883" s="306">
        <f t="shared" ca="1" si="385"/>
        <v>-0.57311873508723654</v>
      </c>
      <c r="E883" s="307">
        <f t="shared" ca="1" si="386"/>
        <v>-0.90004075576252873</v>
      </c>
      <c r="F883" s="304">
        <f t="shared" ca="1" si="387"/>
        <v>1.0670231705738999</v>
      </c>
      <c r="G883" s="306">
        <f t="shared" ca="1" si="388"/>
        <v>10.504655093162231</v>
      </c>
      <c r="H883" s="307">
        <f t="shared" ca="1" si="389"/>
        <v>-164.29104907839977</v>
      </c>
      <c r="I883" s="304">
        <f t="shared" ca="1" si="390"/>
        <v>164.62653670021567</v>
      </c>
      <c r="J883" s="306">
        <f t="shared" ca="1" si="391"/>
        <v>1370.9823387949766</v>
      </c>
      <c r="K883" s="307">
        <f t="shared" ca="1" si="392"/>
        <v>826.29908816403827</v>
      </c>
      <c r="L883" s="304">
        <f t="shared" ca="1" si="377"/>
        <v>1600.7381910819972</v>
      </c>
      <c r="M883" s="306">
        <f t="shared" ca="1" si="393"/>
        <v>-1.5069439440881007</v>
      </c>
      <c r="N883" s="304">
        <f t="shared" ca="1" si="394"/>
        <v>-86.341527959046473</v>
      </c>
      <c r="P883" s="310">
        <f t="shared" ca="1" si="395"/>
        <v>23</v>
      </c>
      <c r="Q883" s="304">
        <f t="shared" ca="1" si="396"/>
        <v>0</v>
      </c>
      <c r="R883" s="306">
        <f t="shared" ca="1" si="397"/>
        <v>0</v>
      </c>
      <c r="S883" s="307">
        <f t="shared" ca="1" si="398"/>
        <v>5.6519999999999806</v>
      </c>
      <c r="T883" s="304">
        <f t="shared" ca="1" si="378"/>
        <v>55.446119999999816</v>
      </c>
      <c r="U883" s="311">
        <f t="shared" ca="1" si="379"/>
        <v>0</v>
      </c>
      <c r="V883" s="306">
        <f t="shared" ca="1" si="380"/>
        <v>1.1277944063689924</v>
      </c>
      <c r="W883" s="304">
        <f t="shared" ca="1" si="381"/>
        <v>50.599203902995711</v>
      </c>
      <c r="Y883" s="314" t="str">
        <f t="shared" ca="1" si="399"/>
        <v/>
      </c>
      <c r="Z883" s="315" t="str">
        <f t="shared" ca="1" si="400"/>
        <v/>
      </c>
      <c r="AA883" s="316" t="str">
        <f t="shared" ca="1" si="401"/>
        <v/>
      </c>
      <c r="AC883" s="310" t="e">
        <f t="shared" ca="1" si="402"/>
        <v>#N/A</v>
      </c>
      <c r="AD883" s="323" t="e">
        <f t="shared" ca="1" si="403"/>
        <v>#N/A</v>
      </c>
      <c r="AE883" s="324" t="e">
        <f t="shared" ca="1" si="382"/>
        <v>#N/A</v>
      </c>
      <c r="AG883" s="306">
        <f t="shared" ca="1" si="404"/>
        <v>0.86139564711798045</v>
      </c>
      <c r="AH883" s="304">
        <f t="shared" ca="1" si="405"/>
        <v>-8.9283726859087125</v>
      </c>
    </row>
    <row r="884" spans="1:34" x14ac:dyDescent="0.2">
      <c r="A884" s="347">
        <f t="shared" ca="1" si="383"/>
        <v>0.1</v>
      </c>
      <c r="B884" s="304">
        <f t="shared" ca="1" si="384"/>
        <v>56.000000000000455</v>
      </c>
      <c r="D884" s="306">
        <f t="shared" ca="1" si="385"/>
        <v>-0.57124641343618687</v>
      </c>
      <c r="E884" s="307">
        <f t="shared" ca="1" si="386"/>
        <v>-0.8758016171521561</v>
      </c>
      <c r="F884" s="304">
        <f t="shared" ca="1" si="387"/>
        <v>1.0456342273807024</v>
      </c>
      <c r="G884" s="306">
        <f t="shared" ca="1" si="388"/>
        <v>10.447530451818613</v>
      </c>
      <c r="H884" s="307">
        <f t="shared" ca="1" si="389"/>
        <v>-164.37862924011498</v>
      </c>
      <c r="I884" s="304">
        <f t="shared" ca="1" si="390"/>
        <v>164.7103052131252</v>
      </c>
      <c r="J884" s="306">
        <f t="shared" ca="1" si="391"/>
        <v>1372.0299480722256</v>
      </c>
      <c r="K884" s="307">
        <f t="shared" ca="1" si="392"/>
        <v>809.8656042481125</v>
      </c>
      <c r="L884" s="304">
        <f t="shared" ca="1" si="377"/>
        <v>1593.219531436655</v>
      </c>
      <c r="M884" s="306">
        <f t="shared" ca="1" si="393"/>
        <v>-1.5073239848687066</v>
      </c>
      <c r="N884" s="304">
        <f t="shared" ca="1" si="394"/>
        <v>-86.363302691818049</v>
      </c>
      <c r="P884" s="310">
        <f t="shared" ca="1" si="395"/>
        <v>23</v>
      </c>
      <c r="Q884" s="304">
        <f t="shared" ca="1" si="396"/>
        <v>0</v>
      </c>
      <c r="R884" s="306">
        <f t="shared" ca="1" si="397"/>
        <v>0</v>
      </c>
      <c r="S884" s="307">
        <f t="shared" ca="1" si="398"/>
        <v>5.6519999999999806</v>
      </c>
      <c r="T884" s="304">
        <f t="shared" ca="1" si="378"/>
        <v>55.446119999999816</v>
      </c>
      <c r="U884" s="311">
        <f t="shared" ca="1" si="379"/>
        <v>0</v>
      </c>
      <c r="V884" s="306">
        <f t="shared" ca="1" si="380"/>
        <v>1.1296524005420376</v>
      </c>
      <c r="W884" s="304">
        <f t="shared" ca="1" si="381"/>
        <v>50.734155698803953</v>
      </c>
      <c r="Y884" s="314" t="str">
        <f t="shared" ca="1" si="399"/>
        <v/>
      </c>
      <c r="Z884" s="315" t="str">
        <f t="shared" ca="1" si="400"/>
        <v/>
      </c>
      <c r="AA884" s="316" t="str">
        <f t="shared" ca="1" si="401"/>
        <v/>
      </c>
      <c r="AC884" s="310">
        <f t="shared" ca="1" si="402"/>
        <v>56.000000000000455</v>
      </c>
      <c r="AD884" s="323">
        <f t="shared" ca="1" si="403"/>
        <v>1372.0299480722256</v>
      </c>
      <c r="AE884" s="324" t="e">
        <f t="shared" ca="1" si="382"/>
        <v>#N/A</v>
      </c>
      <c r="AG884" s="306">
        <f t="shared" ca="1" si="404"/>
        <v>0.83756618273044836</v>
      </c>
      <c r="AH884" s="304">
        <f t="shared" ca="1" si="405"/>
        <v>-8.9524423041393995</v>
      </c>
    </row>
    <row r="885" spans="1:34" x14ac:dyDescent="0.2">
      <c r="A885" s="347">
        <f t="shared" ca="1" si="383"/>
        <v>0.1</v>
      </c>
      <c r="B885" s="304">
        <f t="shared" ca="1" si="384"/>
        <v>56.100000000000456</v>
      </c>
      <c r="D885" s="306">
        <f t="shared" ca="1" si="385"/>
        <v>-0.56936551292458093</v>
      </c>
      <c r="E885" s="307">
        <f t="shared" ca="1" si="386"/>
        <v>-0.85175642437624788</v>
      </c>
      <c r="F885" s="304">
        <f t="shared" ca="1" si="387"/>
        <v>1.024532134085643</v>
      </c>
      <c r="G885" s="306">
        <f t="shared" ca="1" si="388"/>
        <v>10.390593900526156</v>
      </c>
      <c r="H885" s="307">
        <f t="shared" ca="1" si="389"/>
        <v>-164.46380488255261</v>
      </c>
      <c r="I885" s="304">
        <f t="shared" ca="1" si="390"/>
        <v>164.79170961565993</v>
      </c>
      <c r="J885" s="306">
        <f t="shared" ca="1" si="391"/>
        <v>1373.0718542898428</v>
      </c>
      <c r="K885" s="307">
        <f t="shared" ca="1" si="392"/>
        <v>793.42348254197918</v>
      </c>
      <c r="L885" s="304">
        <f t="shared" ca="1" si="377"/>
        <v>1585.8269576760226</v>
      </c>
      <c r="M885" s="306">
        <f t="shared" ca="1" si="393"/>
        <v>-1.5077015801271436</v>
      </c>
      <c r="N885" s="304">
        <f t="shared" ca="1" si="394"/>
        <v>-86.384937306490642</v>
      </c>
      <c r="P885" s="310">
        <f t="shared" ca="1" si="395"/>
        <v>23</v>
      </c>
      <c r="Q885" s="304">
        <f t="shared" ca="1" si="396"/>
        <v>0</v>
      </c>
      <c r="R885" s="306">
        <f t="shared" ca="1" si="397"/>
        <v>0</v>
      </c>
      <c r="S885" s="307">
        <f t="shared" ca="1" si="398"/>
        <v>5.6519999999999806</v>
      </c>
      <c r="T885" s="304">
        <f t="shared" ca="1" si="378"/>
        <v>55.446119999999816</v>
      </c>
      <c r="U885" s="311">
        <f t="shared" ca="1" si="379"/>
        <v>0</v>
      </c>
      <c r="V885" s="306">
        <f t="shared" ca="1" si="380"/>
        <v>1.131514310456865</v>
      </c>
      <c r="W885" s="304">
        <f t="shared" ca="1" si="381"/>
        <v>50.868020012854046</v>
      </c>
      <c r="Y885" s="314" t="str">
        <f t="shared" ca="1" si="399"/>
        <v/>
      </c>
      <c r="Z885" s="315" t="str">
        <f t="shared" ca="1" si="400"/>
        <v/>
      </c>
      <c r="AA885" s="316" t="str">
        <f t="shared" ca="1" si="401"/>
        <v/>
      </c>
      <c r="AC885" s="310" t="e">
        <f t="shared" ca="1" si="402"/>
        <v>#N/A</v>
      </c>
      <c r="AD885" s="323" t="e">
        <f t="shared" ca="1" si="403"/>
        <v>#N/A</v>
      </c>
      <c r="AE885" s="324" t="e">
        <f t="shared" ca="1" si="382"/>
        <v>#N/A</v>
      </c>
      <c r="AG885" s="306">
        <f t="shared" ca="1" si="404"/>
        <v>0.8139265468391077</v>
      </c>
      <c r="AH885" s="304">
        <f t="shared" ca="1" si="405"/>
        <v>-8.9763191257615222</v>
      </c>
    </row>
    <row r="886" spans="1:34" x14ac:dyDescent="0.2">
      <c r="A886" s="347">
        <f t="shared" ca="1" si="383"/>
        <v>0.1</v>
      </c>
      <c r="B886" s="304">
        <f t="shared" ca="1" si="384"/>
        <v>56.200000000000458</v>
      </c>
      <c r="D886" s="306">
        <f t="shared" ca="1" si="385"/>
        <v>-0.56747625298820237</v>
      </c>
      <c r="E886" s="307">
        <f t="shared" ca="1" si="386"/>
        <v>-0.82790478576899496</v>
      </c>
      <c r="F886" s="304">
        <f t="shared" ca="1" si="387"/>
        <v>1.0037208934782296</v>
      </c>
      <c r="G886" s="306">
        <f t="shared" ca="1" si="388"/>
        <v>10.333846275227335</v>
      </c>
      <c r="H886" s="307">
        <f t="shared" ca="1" si="389"/>
        <v>-164.5465953611295</v>
      </c>
      <c r="I886" s="304">
        <f t="shared" ca="1" si="390"/>
        <v>164.87076885785217</v>
      </c>
      <c r="J886" s="306">
        <f t="shared" ca="1" si="391"/>
        <v>1374.1080762986305</v>
      </c>
      <c r="K886" s="307">
        <f t="shared" ca="1" si="392"/>
        <v>776.97296252979504</v>
      </c>
      <c r="L886" s="304">
        <f t="shared" ca="1" si="377"/>
        <v>1578.5626341236666</v>
      </c>
      <c r="M886" s="306">
        <f t="shared" ca="1" si="393"/>
        <v>-1.5080767520822445</v>
      </c>
      <c r="N886" s="304">
        <f t="shared" ca="1" si="394"/>
        <v>-86.406433076109593</v>
      </c>
      <c r="P886" s="310">
        <f t="shared" ca="1" si="395"/>
        <v>23</v>
      </c>
      <c r="Q886" s="304">
        <f t="shared" ca="1" si="396"/>
        <v>0</v>
      </c>
      <c r="R886" s="306">
        <f t="shared" ca="1" si="397"/>
        <v>0</v>
      </c>
      <c r="S886" s="307">
        <f t="shared" ca="1" si="398"/>
        <v>5.6519999999999806</v>
      </c>
      <c r="T886" s="304">
        <f t="shared" ca="1" si="378"/>
        <v>55.446119999999816</v>
      </c>
      <c r="U886" s="311">
        <f t="shared" ca="1" si="379"/>
        <v>0</v>
      </c>
      <c r="V886" s="306">
        <f t="shared" ca="1" si="380"/>
        <v>1.1333801205483103</v>
      </c>
      <c r="W886" s="304">
        <f t="shared" ca="1" si="381"/>
        <v>51.00079914863057</v>
      </c>
      <c r="Y886" s="314" t="str">
        <f t="shared" ca="1" si="399"/>
        <v/>
      </c>
      <c r="Z886" s="315" t="str">
        <f t="shared" ca="1" si="400"/>
        <v/>
      </c>
      <c r="AA886" s="316" t="str">
        <f t="shared" ca="1" si="401"/>
        <v/>
      </c>
      <c r="AC886" s="310" t="e">
        <f t="shared" ca="1" si="402"/>
        <v>#N/A</v>
      </c>
      <c r="AD886" s="323" t="e">
        <f t="shared" ca="1" si="403"/>
        <v>#N/A</v>
      </c>
      <c r="AE886" s="324" t="e">
        <f t="shared" ca="1" si="382"/>
        <v>#N/A</v>
      </c>
      <c r="AG886" s="306">
        <f t="shared" ca="1" si="404"/>
        <v>0.79047639082610743</v>
      </c>
      <c r="AH886" s="304">
        <f t="shared" ca="1" si="405"/>
        <v>-9.0000035408446966</v>
      </c>
    </row>
    <row r="887" spans="1:34" x14ac:dyDescent="0.2">
      <c r="A887" s="347">
        <f t="shared" ca="1" si="383"/>
        <v>0.1</v>
      </c>
      <c r="B887" s="304">
        <f t="shared" ca="1" si="384"/>
        <v>56.300000000000459</v>
      </c>
      <c r="D887" s="306">
        <f t="shared" ca="1" si="385"/>
        <v>-0.56557885142489828</v>
      </c>
      <c r="E887" s="307">
        <f t="shared" ca="1" si="386"/>
        <v>-0.80424629207792897</v>
      </c>
      <c r="F887" s="304">
        <f t="shared" ca="1" si="387"/>
        <v>0.98320472715513563</v>
      </c>
      <c r="G887" s="306">
        <f t="shared" ca="1" si="388"/>
        <v>10.277288390084845</v>
      </c>
      <c r="H887" s="307">
        <f t="shared" ca="1" si="389"/>
        <v>-164.62701999033729</v>
      </c>
      <c r="I887" s="304">
        <f t="shared" ca="1" si="390"/>
        <v>164.94750185301953</v>
      </c>
      <c r="J887" s="306">
        <f t="shared" ca="1" si="391"/>
        <v>1375.1386330318962</v>
      </c>
      <c r="K887" s="307">
        <f t="shared" ca="1" si="392"/>
        <v>760.51428176222169</v>
      </c>
      <c r="L887" s="304">
        <f t="shared" ca="1" si="377"/>
        <v>1571.4287234300957</v>
      </c>
      <c r="M887" s="306">
        <f t="shared" ca="1" si="393"/>
        <v>-1.5084495226442676</v>
      </c>
      <c r="N887" s="304">
        <f t="shared" ca="1" si="394"/>
        <v>-86.427791256040237</v>
      </c>
      <c r="P887" s="310">
        <f t="shared" ca="1" si="395"/>
        <v>23</v>
      </c>
      <c r="Q887" s="304">
        <f t="shared" ca="1" si="396"/>
        <v>0</v>
      </c>
      <c r="R887" s="306">
        <f t="shared" ca="1" si="397"/>
        <v>0</v>
      </c>
      <c r="S887" s="307">
        <f t="shared" ca="1" si="398"/>
        <v>5.6519999999999806</v>
      </c>
      <c r="T887" s="304">
        <f t="shared" ca="1" si="378"/>
        <v>55.446119999999816</v>
      </c>
      <c r="U887" s="311">
        <f t="shared" ca="1" si="379"/>
        <v>0</v>
      </c>
      <c r="V887" s="306">
        <f t="shared" ca="1" si="380"/>
        <v>1.1352498153451678</v>
      </c>
      <c r="W887" s="304">
        <f t="shared" ca="1" si="381"/>
        <v>51.132495506663346</v>
      </c>
      <c r="Y887" s="314" t="str">
        <f t="shared" ca="1" si="399"/>
        <v/>
      </c>
      <c r="Z887" s="315" t="str">
        <f t="shared" ca="1" si="400"/>
        <v/>
      </c>
      <c r="AA887" s="316" t="str">
        <f t="shared" ca="1" si="401"/>
        <v/>
      </c>
      <c r="AC887" s="310" t="e">
        <f t="shared" ca="1" si="402"/>
        <v>#N/A</v>
      </c>
      <c r="AD887" s="323" t="e">
        <f t="shared" ca="1" si="403"/>
        <v>#N/A</v>
      </c>
      <c r="AE887" s="324" t="e">
        <f t="shared" ca="1" si="382"/>
        <v>#N/A</v>
      </c>
      <c r="AG887" s="306">
        <f t="shared" ca="1" si="404"/>
        <v>0.76721534788952894</v>
      </c>
      <c r="AH887" s="304">
        <f t="shared" ca="1" si="405"/>
        <v>-9.0234959569410371</v>
      </c>
    </row>
    <row r="888" spans="1:34" x14ac:dyDescent="0.2">
      <c r="A888" s="347">
        <f t="shared" ca="1" si="383"/>
        <v>0.1</v>
      </c>
      <c r="B888" s="304">
        <f t="shared" ca="1" si="384"/>
        <v>56.40000000000046</v>
      </c>
      <c r="D888" s="306">
        <f t="shared" ca="1" si="385"/>
        <v>-0.56367352438191376</v>
      </c>
      <c r="E888" s="307">
        <f t="shared" ca="1" si="386"/>
        <v>-0.78078051677801241</v>
      </c>
      <c r="F888" s="304">
        <f t="shared" ca="1" si="387"/>
        <v>0.96298808791659929</v>
      </c>
      <c r="G888" s="306">
        <f t="shared" ca="1" si="388"/>
        <v>10.220921037646653</v>
      </c>
      <c r="H888" s="307">
        <f t="shared" ca="1" si="389"/>
        <v>-164.70509804201509</v>
      </c>
      <c r="I888" s="304">
        <f t="shared" ca="1" si="390"/>
        <v>165.02192747598002</v>
      </c>
      <c r="J888" s="306">
        <f t="shared" ca="1" si="391"/>
        <v>1376.1635435032829</v>
      </c>
      <c r="K888" s="307">
        <f t="shared" ca="1" si="392"/>
        <v>744.04767586060404</v>
      </c>
      <c r="L888" s="304">
        <f t="shared" ca="1" si="377"/>
        <v>1564.4273848348087</v>
      </c>
      <c r="M888" s="306">
        <f t="shared" ca="1" si="393"/>
        <v>-1.5088199134203255</v>
      </c>
      <c r="N888" s="304">
        <f t="shared" ca="1" si="394"/>
        <v>-86.449013084278931</v>
      </c>
      <c r="P888" s="310">
        <f t="shared" ca="1" si="395"/>
        <v>23</v>
      </c>
      <c r="Q888" s="304">
        <f t="shared" ca="1" si="396"/>
        <v>0</v>
      </c>
      <c r="R888" s="306">
        <f t="shared" ca="1" si="397"/>
        <v>0</v>
      </c>
      <c r="S888" s="307">
        <f t="shared" ca="1" si="398"/>
        <v>5.6519999999999806</v>
      </c>
      <c r="T888" s="304">
        <f t="shared" ca="1" si="378"/>
        <v>55.446119999999816</v>
      </c>
      <c r="U888" s="311">
        <f t="shared" ca="1" si="379"/>
        <v>0</v>
      </c>
      <c r="V888" s="306">
        <f t="shared" ca="1" si="380"/>
        <v>1.1371233794704505</v>
      </c>
      <c r="W888" s="304">
        <f t="shared" ca="1" si="381"/>
        <v>51.26311158276755</v>
      </c>
      <c r="Y888" s="314" t="str">
        <f t="shared" ca="1" si="399"/>
        <v/>
      </c>
      <c r="Z888" s="315" t="str">
        <f t="shared" ca="1" si="400"/>
        <v/>
      </c>
      <c r="AA888" s="316" t="str">
        <f t="shared" ca="1" si="401"/>
        <v/>
      </c>
      <c r="AC888" s="310" t="e">
        <f t="shared" ca="1" si="402"/>
        <v>#N/A</v>
      </c>
      <c r="AD888" s="323" t="e">
        <f t="shared" ca="1" si="403"/>
        <v>#N/A</v>
      </c>
      <c r="AE888" s="324" t="e">
        <f t="shared" ca="1" si="382"/>
        <v>#N/A</v>
      </c>
      <c r="AG888" s="306">
        <f t="shared" ca="1" si="404"/>
        <v>0.74414303337025345</v>
      </c>
      <c r="AH888" s="304">
        <f t="shared" ca="1" si="405"/>
        <v>-9.0467967987727391</v>
      </c>
    </row>
    <row r="889" spans="1:34" x14ac:dyDescent="0.2">
      <c r="A889" s="347">
        <f t="shared" ca="1" si="383"/>
        <v>0.1</v>
      </c>
      <c r="B889" s="304">
        <f t="shared" ca="1" si="384"/>
        <v>56.500000000000462</v>
      </c>
      <c r="D889" s="306">
        <f t="shared" ca="1" si="385"/>
        <v>-0.56176048634378106</v>
      </c>
      <c r="E889" s="307">
        <f t="shared" ca="1" si="386"/>
        <v>-0.75750701638466644</v>
      </c>
      <c r="F889" s="304">
        <f t="shared" ca="1" si="387"/>
        <v>0.94307567240874202</v>
      </c>
      <c r="G889" s="306">
        <f t="shared" ca="1" si="388"/>
        <v>10.164744989012274</v>
      </c>
      <c r="H889" s="307">
        <f t="shared" ca="1" si="389"/>
        <v>-164.78084874365356</v>
      </c>
      <c r="I889" s="304">
        <f t="shared" ca="1" si="390"/>
        <v>165.09406456129938</v>
      </c>
      <c r="J889" s="306">
        <f t="shared" ca="1" si="391"/>
        <v>1377.1828268046158</v>
      </c>
      <c r="K889" s="307">
        <f t="shared" ca="1" si="392"/>
        <v>727.57337852132059</v>
      </c>
      <c r="L889" s="304">
        <f t="shared" ca="1" si="377"/>
        <v>1557.5607723548001</v>
      </c>
      <c r="M889" s="306">
        <f t="shared" ca="1" si="393"/>
        <v>-1.5091879457197013</v>
      </c>
      <c r="N889" s="304">
        <f t="shared" ca="1" si="394"/>
        <v>-86.470099781757654</v>
      </c>
      <c r="P889" s="310">
        <f t="shared" ca="1" si="395"/>
        <v>23</v>
      </c>
      <c r="Q889" s="304">
        <f t="shared" ca="1" si="396"/>
        <v>0</v>
      </c>
      <c r="R889" s="306">
        <f t="shared" ca="1" si="397"/>
        <v>0</v>
      </c>
      <c r="S889" s="307">
        <f t="shared" ca="1" si="398"/>
        <v>5.6519999999999806</v>
      </c>
      <c r="T889" s="304">
        <f t="shared" ca="1" si="378"/>
        <v>55.446119999999816</v>
      </c>
      <c r="U889" s="311">
        <f t="shared" ca="1" si="379"/>
        <v>0</v>
      </c>
      <c r="V889" s="306">
        <f t="shared" ca="1" si="380"/>
        <v>1.139000797641639</v>
      </c>
      <c r="W889" s="304">
        <f t="shared" ca="1" si="381"/>
        <v>51.392649966289468</v>
      </c>
      <c r="Y889" s="314" t="str">
        <f t="shared" ca="1" si="399"/>
        <v/>
      </c>
      <c r="Z889" s="315" t="str">
        <f t="shared" ca="1" si="400"/>
        <v/>
      </c>
      <c r="AA889" s="316" t="str">
        <f t="shared" ca="1" si="401"/>
        <v/>
      </c>
      <c r="AC889" s="310" t="e">
        <f t="shared" ca="1" si="402"/>
        <v>#N/A</v>
      </c>
      <c r="AD889" s="323" t="e">
        <f t="shared" ca="1" si="403"/>
        <v>#N/A</v>
      </c>
      <c r="AE889" s="324" t="e">
        <f t="shared" ca="1" si="382"/>
        <v>#N/A</v>
      </c>
      <c r="AG889" s="306">
        <f t="shared" ca="1" si="404"/>
        <v>0.72125904507742433</v>
      </c>
      <c r="AH889" s="304">
        <f t="shared" ca="1" si="405"/>
        <v>-9.0699065079206882</v>
      </c>
    </row>
    <row r="890" spans="1:34" x14ac:dyDescent="0.2">
      <c r="A890" s="347">
        <f t="shared" ca="1" si="383"/>
        <v>0.1</v>
      </c>
      <c r="B890" s="304">
        <f t="shared" ca="1" si="384"/>
        <v>56.600000000000463</v>
      </c>
      <c r="D890" s="306">
        <f t="shared" ca="1" si="385"/>
        <v>-0.55983995012076926</v>
      </c>
      <c r="E890" s="307">
        <f t="shared" ca="1" si="386"/>
        <v>-0.73442533076580041</v>
      </c>
      <c r="F890" s="304">
        <f t="shared" ca="1" si="387"/>
        <v>0.92347243392625455</v>
      </c>
      <c r="G890" s="306">
        <f t="shared" ca="1" si="388"/>
        <v>10.108760994000196</v>
      </c>
      <c r="H890" s="307">
        <f t="shared" ca="1" si="389"/>
        <v>-164.85429127673015</v>
      </c>
      <c r="I890" s="304">
        <f t="shared" ca="1" si="390"/>
        <v>165.16393190157106</v>
      </c>
      <c r="J890" s="306">
        <f t="shared" ca="1" si="391"/>
        <v>1378.1965021037665</v>
      </c>
      <c r="K890" s="307">
        <f t="shared" ca="1" si="392"/>
        <v>711.09162152030137</v>
      </c>
      <c r="L890" s="304">
        <f t="shared" ca="1" si="377"/>
        <v>1550.8310329005635</v>
      </c>
      <c r="M890" s="306">
        <f t="shared" ca="1" si="393"/>
        <v>-1.5095536405590588</v>
      </c>
      <c r="N890" s="304">
        <f t="shared" ca="1" si="394"/>
        <v>-86.491052552642557</v>
      </c>
      <c r="P890" s="310">
        <f t="shared" ca="1" si="395"/>
        <v>23</v>
      </c>
      <c r="Q890" s="304">
        <f t="shared" ca="1" si="396"/>
        <v>0</v>
      </c>
      <c r="R890" s="306">
        <f t="shared" ca="1" si="397"/>
        <v>0</v>
      </c>
      <c r="S890" s="307">
        <f t="shared" ca="1" si="398"/>
        <v>5.6519999999999806</v>
      </c>
      <c r="T890" s="304">
        <f t="shared" ca="1" si="378"/>
        <v>55.446119999999816</v>
      </c>
      <c r="U890" s="311">
        <f t="shared" ca="1" si="379"/>
        <v>0</v>
      </c>
      <c r="V890" s="306">
        <f t="shared" ca="1" si="380"/>
        <v>1.1408820546709142</v>
      </c>
      <c r="W890" s="304">
        <f t="shared" ca="1" si="381"/>
        <v>51.521113338358731</v>
      </c>
      <c r="Y890" s="314" t="str">
        <f t="shared" ca="1" si="399"/>
        <v/>
      </c>
      <c r="Z890" s="315" t="str">
        <f t="shared" ca="1" si="400"/>
        <v/>
      </c>
      <c r="AA890" s="316" t="str">
        <f t="shared" ca="1" si="401"/>
        <v/>
      </c>
      <c r="AC890" s="310" t="e">
        <f t="shared" ca="1" si="402"/>
        <v>#N/A</v>
      </c>
      <c r="AD890" s="323" t="e">
        <f t="shared" ca="1" si="403"/>
        <v>#N/A</v>
      </c>
      <c r="AE890" s="324" t="e">
        <f t="shared" ca="1" si="382"/>
        <v>#N/A</v>
      </c>
      <c r="AG890" s="306">
        <f t="shared" ca="1" si="404"/>
        <v>0.69856296361258252</v>
      </c>
      <c r="AH890" s="304">
        <f t="shared" ca="1" si="405"/>
        <v>-9.0928255425140918</v>
      </c>
    </row>
    <row r="891" spans="1:34" x14ac:dyDescent="0.2">
      <c r="A891" s="347">
        <f t="shared" ca="1" si="383"/>
        <v>0.1</v>
      </c>
      <c r="B891" s="304">
        <f t="shared" ca="1" si="384"/>
        <v>56.700000000000465</v>
      </c>
      <c r="D891" s="306">
        <f t="shared" ca="1" si="385"/>
        <v>-0.55791212683786295</v>
      </c>
      <c r="E891" s="307">
        <f t="shared" ca="1" si="386"/>
        <v>-0.71153498345267963</v>
      </c>
      <c r="F891" s="304">
        <f t="shared" ca="1" si="387"/>
        <v>0.90418359526688652</v>
      </c>
      <c r="G891" s="306">
        <f t="shared" ca="1" si="388"/>
        <v>10.05296978131641</v>
      </c>
      <c r="H891" s="307">
        <f t="shared" ca="1" si="389"/>
        <v>-164.92544477507542</v>
      </c>
      <c r="I891" s="304">
        <f t="shared" ca="1" si="390"/>
        <v>165.23154824572853</v>
      </c>
      <c r="J891" s="306">
        <f t="shared" ca="1" si="391"/>
        <v>1379.2045886425324</v>
      </c>
      <c r="K891" s="307">
        <f t="shared" ca="1" si="392"/>
        <v>694.60263471771111</v>
      </c>
      <c r="L891" s="304">
        <f t="shared" ca="1" si="377"/>
        <v>1544.2403043209963</v>
      </c>
      <c r="M891" s="306">
        <f t="shared" ca="1" si="393"/>
        <v>-1.5099170186675472</v>
      </c>
      <c r="N891" s="304">
        <f t="shared" ca="1" si="394"/>
        <v>-86.511872584626389</v>
      </c>
      <c r="P891" s="310">
        <f t="shared" ca="1" si="395"/>
        <v>23</v>
      </c>
      <c r="Q891" s="304">
        <f t="shared" ca="1" si="396"/>
        <v>0</v>
      </c>
      <c r="R891" s="306">
        <f t="shared" ca="1" si="397"/>
        <v>0</v>
      </c>
      <c r="S891" s="307">
        <f t="shared" ca="1" si="398"/>
        <v>5.6519999999999806</v>
      </c>
      <c r="T891" s="304">
        <f t="shared" ca="1" si="378"/>
        <v>55.446119999999816</v>
      </c>
      <c r="U891" s="311">
        <f t="shared" ca="1" si="379"/>
        <v>0</v>
      </c>
      <c r="V891" s="306">
        <f t="shared" ca="1" si="380"/>
        <v>1.1427671354653868</v>
      </c>
      <c r="W891" s="304">
        <f t="shared" ca="1" si="381"/>
        <v>51.648504470147564</v>
      </c>
      <c r="Y891" s="314" t="str">
        <f t="shared" ca="1" si="399"/>
        <v/>
      </c>
      <c r="Z891" s="315" t="str">
        <f t="shared" ca="1" si="400"/>
        <v/>
      </c>
      <c r="AA891" s="316" t="str">
        <f t="shared" ca="1" si="401"/>
        <v/>
      </c>
      <c r="AC891" s="310" t="e">
        <f t="shared" ca="1" si="402"/>
        <v>#N/A</v>
      </c>
      <c r="AD891" s="323" t="e">
        <f t="shared" ca="1" si="403"/>
        <v>#N/A</v>
      </c>
      <c r="AE891" s="324" t="e">
        <f t="shared" ca="1" si="382"/>
        <v>#N/A</v>
      </c>
      <c r="AG891" s="306">
        <f t="shared" ca="1" si="404"/>
        <v>0.67605435269230973</v>
      </c>
      <c r="AH891" s="304">
        <f t="shared" ca="1" si="405"/>
        <v>-9.115554376921251</v>
      </c>
    </row>
    <row r="892" spans="1:34" x14ac:dyDescent="0.2">
      <c r="A892" s="347">
        <f t="shared" ca="1" si="383"/>
        <v>0.1</v>
      </c>
      <c r="B892" s="304">
        <f t="shared" ca="1" si="384"/>
        <v>56.800000000000466</v>
      </c>
      <c r="D892" s="306">
        <f t="shared" ca="1" si="385"/>
        <v>-0.55597722592429277</v>
      </c>
      <c r="E892" s="307">
        <f t="shared" ca="1" si="386"/>
        <v>-0.68883548194956923</v>
      </c>
      <c r="F892" s="304">
        <f t="shared" ca="1" si="387"/>
        <v>0.88521466150260264</v>
      </c>
      <c r="G892" s="306">
        <f t="shared" ca="1" si="388"/>
        <v>9.9973720587239807</v>
      </c>
      <c r="H892" s="307">
        <f t="shared" ca="1" si="389"/>
        <v>-164.99432832327037</v>
      </c>
      <c r="I892" s="304">
        <f t="shared" ca="1" si="390"/>
        <v>165.29693229738928</v>
      </c>
      <c r="J892" s="306">
        <f t="shared" ca="1" si="391"/>
        <v>1380.2071057345345</v>
      </c>
      <c r="K892" s="307">
        <f t="shared" ca="1" si="392"/>
        <v>678.10664606279386</v>
      </c>
      <c r="L892" s="304">
        <f t="shared" ca="1" si="377"/>
        <v>1537.7907133789797</v>
      </c>
      <c r="M892" s="306">
        <f t="shared" ca="1" si="393"/>
        <v>-1.5102781004918018</v>
      </c>
      <c r="N892" s="304">
        <f t="shared" ca="1" si="394"/>
        <v>-86.532561049215062</v>
      </c>
      <c r="P892" s="310">
        <f t="shared" ca="1" si="395"/>
        <v>23</v>
      </c>
      <c r="Q892" s="304">
        <f t="shared" ca="1" si="396"/>
        <v>0</v>
      </c>
      <c r="R892" s="306">
        <f t="shared" ca="1" si="397"/>
        <v>0</v>
      </c>
      <c r="S892" s="307">
        <f t="shared" ca="1" si="398"/>
        <v>5.6519999999999806</v>
      </c>
      <c r="T892" s="304">
        <f t="shared" ca="1" si="378"/>
        <v>55.446119999999816</v>
      </c>
      <c r="U892" s="311">
        <f t="shared" ca="1" si="379"/>
        <v>0</v>
      </c>
      <c r="V892" s="306">
        <f t="shared" ca="1" si="380"/>
        <v>1.1446560250273117</v>
      </c>
      <c r="W892" s="304">
        <f t="shared" ca="1" si="381"/>
        <v>51.774826221136969</v>
      </c>
      <c r="Y892" s="314" t="str">
        <f t="shared" ca="1" si="399"/>
        <v/>
      </c>
      <c r="Z892" s="315" t="str">
        <f t="shared" ca="1" si="400"/>
        <v/>
      </c>
      <c r="AA892" s="316" t="str">
        <f t="shared" ca="1" si="401"/>
        <v/>
      </c>
      <c r="AC892" s="310" t="e">
        <f t="shared" ca="1" si="402"/>
        <v>#N/A</v>
      </c>
      <c r="AD892" s="323" t="e">
        <f t="shared" ca="1" si="403"/>
        <v>#N/A</v>
      </c>
      <c r="AE892" s="324" t="e">
        <f t="shared" ca="1" si="382"/>
        <v>#N/A</v>
      </c>
      <c r="AG892" s="306">
        <f t="shared" ca="1" si="404"/>
        <v>0.6537327594693263</v>
      </c>
      <c r="AH892" s="304">
        <f t="shared" ca="1" si="405"/>
        <v>-9.1380935014415687</v>
      </c>
    </row>
    <row r="893" spans="1:34" x14ac:dyDescent="0.2">
      <c r="A893" s="347">
        <f t="shared" ca="1" si="383"/>
        <v>0.1</v>
      </c>
      <c r="B893" s="304">
        <f t="shared" ca="1" si="384"/>
        <v>56.900000000000468</v>
      </c>
      <c r="D893" s="306">
        <f t="shared" ca="1" si="385"/>
        <v>-0.55403545510359786</v>
      </c>
      <c r="E893" s="307">
        <f t="shared" ca="1" si="386"/>
        <v>-0.66632631804213105</v>
      </c>
      <c r="F893" s="304">
        <f t="shared" ca="1" si="387"/>
        <v>0.8665714325013455</v>
      </c>
      <c r="G893" s="306">
        <f t="shared" ca="1" si="388"/>
        <v>9.9419685132136202</v>
      </c>
      <c r="H893" s="307">
        <f t="shared" ca="1" si="389"/>
        <v>-165.06096095507459</v>
      </c>
      <c r="I893" s="304">
        <f t="shared" ca="1" si="390"/>
        <v>165.36010271323124</v>
      </c>
      <c r="J893" s="306">
        <f t="shared" ca="1" si="391"/>
        <v>1381.2040727631313</v>
      </c>
      <c r="K893" s="307">
        <f t="shared" ca="1" si="392"/>
        <v>661.60388159887657</v>
      </c>
      <c r="L893" s="304">
        <f t="shared" ca="1" si="377"/>
        <v>1531.4843736598036</v>
      </c>
      <c r="M893" s="306">
        <f t="shared" ca="1" si="393"/>
        <v>-1.5106369062008458</v>
      </c>
      <c r="N893" s="304">
        <f t="shared" ca="1" si="394"/>
        <v>-86.55311910200848</v>
      </c>
      <c r="P893" s="310">
        <f t="shared" ca="1" si="395"/>
        <v>23</v>
      </c>
      <c r="Q893" s="304">
        <f t="shared" ca="1" si="396"/>
        <v>0</v>
      </c>
      <c r="R893" s="306">
        <f t="shared" ca="1" si="397"/>
        <v>0</v>
      </c>
      <c r="S893" s="307">
        <f t="shared" ca="1" si="398"/>
        <v>5.6519999999999806</v>
      </c>
      <c r="T893" s="304">
        <f t="shared" ca="1" si="378"/>
        <v>55.446119999999816</v>
      </c>
      <c r="U893" s="311">
        <f t="shared" ca="1" si="379"/>
        <v>0</v>
      </c>
      <c r="V893" s="306">
        <f t="shared" ca="1" si="380"/>
        <v>1.146548708454292</v>
      </c>
      <c r="W893" s="304">
        <f t="shared" ca="1" si="381"/>
        <v>51.90008153739069</v>
      </c>
      <c r="Y893" s="314" t="str">
        <f t="shared" ca="1" si="399"/>
        <v/>
      </c>
      <c r="Z893" s="315" t="str">
        <f t="shared" ca="1" si="400"/>
        <v/>
      </c>
      <c r="AA893" s="316" t="str">
        <f t="shared" ca="1" si="401"/>
        <v/>
      </c>
      <c r="AC893" s="310" t="e">
        <f t="shared" ca="1" si="402"/>
        <v>#N/A</v>
      </c>
      <c r="AD893" s="323" t="e">
        <f t="shared" ca="1" si="403"/>
        <v>#N/A</v>
      </c>
      <c r="AE893" s="324" t="e">
        <f t="shared" ca="1" si="382"/>
        <v>#N/A</v>
      </c>
      <c r="AG893" s="306">
        <f t="shared" ca="1" si="404"/>
        <v>0.63159771485204352</v>
      </c>
      <c r="AH893" s="304">
        <f t="shared" ca="1" si="405"/>
        <v>-9.1604434219987869</v>
      </c>
    </row>
    <row r="894" spans="1:34" x14ac:dyDescent="0.2">
      <c r="A894" s="347">
        <f t="shared" ca="1" si="383"/>
        <v>0.1</v>
      </c>
      <c r="B894" s="304">
        <f t="shared" ca="1" si="384"/>
        <v>57.000000000000469</v>
      </c>
      <c r="D894" s="306">
        <f t="shared" ca="1" si="385"/>
        <v>-0.55208702038420698</v>
      </c>
      <c r="E894" s="307">
        <f t="shared" ca="1" si="386"/>
        <v>-0.64400696810444025</v>
      </c>
      <c r="F894" s="304">
        <f t="shared" ca="1" si="387"/>
        <v>0.84826001499763337</v>
      </c>
      <c r="G894" s="306">
        <f t="shared" ca="1" si="388"/>
        <v>9.8867598111751995</v>
      </c>
      <c r="H894" s="307">
        <f t="shared" ca="1" si="389"/>
        <v>-165.12536165188504</v>
      </c>
      <c r="I894" s="304">
        <f t="shared" ca="1" si="390"/>
        <v>165.42107810140064</v>
      </c>
      <c r="J894" s="306">
        <f t="shared" ca="1" si="391"/>
        <v>1382.1955091793507</v>
      </c>
      <c r="K894" s="307">
        <f t="shared" ca="1" si="392"/>
        <v>645.09456546852857</v>
      </c>
      <c r="L894" s="304">
        <f t="shared" ca="1" si="377"/>
        <v>1525.3233834150037</v>
      </c>
      <c r="M894" s="306">
        <f t="shared" ca="1" si="393"/>
        <v>-1.5109934556908933</v>
      </c>
      <c r="N894" s="304">
        <f t="shared" ca="1" si="394"/>
        <v>-86.573547882975745</v>
      </c>
      <c r="P894" s="310">
        <f t="shared" ca="1" si="395"/>
        <v>23</v>
      </c>
      <c r="Q894" s="304">
        <f t="shared" ca="1" si="396"/>
        <v>0</v>
      </c>
      <c r="R894" s="306">
        <f t="shared" ca="1" si="397"/>
        <v>0</v>
      </c>
      <c r="S894" s="307">
        <f t="shared" ca="1" si="398"/>
        <v>5.6519999999999806</v>
      </c>
      <c r="T894" s="304">
        <f t="shared" ca="1" si="378"/>
        <v>55.446119999999816</v>
      </c>
      <c r="U894" s="311">
        <f t="shared" ca="1" si="379"/>
        <v>0</v>
      </c>
      <c r="V894" s="306">
        <f t="shared" ca="1" si="380"/>
        <v>1.1484451709394714</v>
      </c>
      <c r="W894" s="304">
        <f t="shared" ca="1" si="381"/>
        <v>52.02427344983677</v>
      </c>
      <c r="Y894" s="314" t="str">
        <f t="shared" ca="1" si="399"/>
        <v/>
      </c>
      <c r="Z894" s="315" t="str">
        <f t="shared" ca="1" si="400"/>
        <v/>
      </c>
      <c r="AA894" s="316" t="str">
        <f t="shared" ca="1" si="401"/>
        <v/>
      </c>
      <c r="AC894" s="310">
        <f t="shared" ca="1" si="402"/>
        <v>57.000000000000469</v>
      </c>
      <c r="AD894" s="323">
        <f t="shared" ca="1" si="403"/>
        <v>1382.1955091793507</v>
      </c>
      <c r="AE894" s="324" t="e">
        <f t="shared" ca="1" si="382"/>
        <v>#N/A</v>
      </c>
      <c r="AG894" s="306">
        <f t="shared" ca="1" si="404"/>
        <v>0.60964873382243745</v>
      </c>
      <c r="AH894" s="304">
        <f t="shared" ca="1" si="405"/>
        <v>-9.1826046598356097</v>
      </c>
    </row>
    <row r="895" spans="1:34" x14ac:dyDescent="0.2">
      <c r="A895" s="347">
        <f t="shared" ca="1" si="383"/>
        <v>0.1</v>
      </c>
      <c r="B895" s="304">
        <f t="shared" ca="1" si="384"/>
        <v>57.10000000000047</v>
      </c>
      <c r="D895" s="306">
        <f t="shared" ca="1" si="385"/>
        <v>-0.55013212605054607</v>
      </c>
      <c r="E895" s="307">
        <f t="shared" ca="1" si="386"/>
        <v>-0.62187689340468033</v>
      </c>
      <c r="F895" s="304">
        <f t="shared" ca="1" si="387"/>
        <v>0.83028683396977343</v>
      </c>
      <c r="G895" s="306">
        <f t="shared" ca="1" si="388"/>
        <v>9.8317465985701453</v>
      </c>
      <c r="H895" s="307">
        <f t="shared" ca="1" si="389"/>
        <v>-165.18754934122552</v>
      </c>
      <c r="I895" s="304">
        <f t="shared" ca="1" si="390"/>
        <v>165.47987701995163</v>
      </c>
      <c r="J895" s="306">
        <f t="shared" ca="1" si="391"/>
        <v>1383.1814344998379</v>
      </c>
      <c r="K895" s="307">
        <f t="shared" ca="1" si="392"/>
        <v>628.578919918873</v>
      </c>
      <c r="L895" s="304">
        <f t="shared" ca="1" si="377"/>
        <v>1519.3098233446021</v>
      </c>
      <c r="M895" s="306">
        <f t="shared" ca="1" si="393"/>
        <v>-1.5113477685900569</v>
      </c>
      <c r="N895" s="304">
        <f t="shared" ca="1" si="394"/>
        <v>-86.593848516724861</v>
      </c>
      <c r="P895" s="310">
        <f t="shared" ca="1" si="395"/>
        <v>23</v>
      </c>
      <c r="Q895" s="304">
        <f t="shared" ca="1" si="396"/>
        <v>0</v>
      </c>
      <c r="R895" s="306">
        <f t="shared" ca="1" si="397"/>
        <v>0</v>
      </c>
      <c r="S895" s="307">
        <f t="shared" ca="1" si="398"/>
        <v>5.6519999999999806</v>
      </c>
      <c r="T895" s="304">
        <f t="shared" ca="1" si="378"/>
        <v>55.446119999999816</v>
      </c>
      <c r="U895" s="311">
        <f t="shared" ca="1" si="379"/>
        <v>0</v>
      </c>
      <c r="V895" s="306">
        <f t="shared" ca="1" si="380"/>
        <v>1.1503453977717195</v>
      </c>
      <c r="W895" s="304">
        <f t="shared" ca="1" si="381"/>
        <v>52.147405072557888</v>
      </c>
      <c r="Y895" s="314" t="str">
        <f t="shared" ca="1" si="399"/>
        <v/>
      </c>
      <c r="Z895" s="315" t="str">
        <f t="shared" ca="1" si="400"/>
        <v/>
      </c>
      <c r="AA895" s="316" t="str">
        <f t="shared" ca="1" si="401"/>
        <v/>
      </c>
      <c r="AC895" s="310" t="e">
        <f t="shared" ca="1" si="402"/>
        <v>#N/A</v>
      </c>
      <c r="AD895" s="323" t="e">
        <f t="shared" ca="1" si="403"/>
        <v>#N/A</v>
      </c>
      <c r="AE895" s="324" t="e">
        <f t="shared" ca="1" si="382"/>
        <v>#N/A</v>
      </c>
      <c r="AG895" s="306">
        <f t="shared" ca="1" si="404"/>
        <v>0.58788531575228831</v>
      </c>
      <c r="AH895" s="304">
        <f t="shared" ca="1" si="405"/>
        <v>-9.2045777512096514</v>
      </c>
    </row>
    <row r="896" spans="1:34" x14ac:dyDescent="0.2">
      <c r="A896" s="347">
        <f t="shared" ca="1" si="383"/>
        <v>0.1</v>
      </c>
      <c r="B896" s="304">
        <f t="shared" ca="1" si="384"/>
        <v>57.200000000000472</v>
      </c>
      <c r="D896" s="306">
        <f t="shared" ca="1" si="385"/>
        <v>-0.54817097465465392</v>
      </c>
      <c r="E896" s="307">
        <f t="shared" ca="1" si="386"/>
        <v>-0.59993554040923769</v>
      </c>
      <c r="F896" s="304">
        <f t="shared" ca="1" si="387"/>
        <v>0.81265864303528901</v>
      </c>
      <c r="G896" s="306">
        <f t="shared" ca="1" si="388"/>
        <v>9.7769295011046804</v>
      </c>
      <c r="H896" s="307">
        <f t="shared" ca="1" si="389"/>
        <v>-165.24754289526643</v>
      </c>
      <c r="I896" s="304">
        <f t="shared" ca="1" si="390"/>
        <v>165.53651797531714</v>
      </c>
      <c r="J896" s="306">
        <f t="shared" ca="1" si="391"/>
        <v>1384.1618683048216</v>
      </c>
      <c r="K896" s="307">
        <f t="shared" ca="1" si="392"/>
        <v>612.05716530704842</v>
      </c>
      <c r="L896" s="304">
        <f t="shared" ca="1" si="377"/>
        <v>1513.4457543211761</v>
      </c>
      <c r="M896" s="306">
        <f t="shared" ca="1" si="393"/>
        <v>-1.5116998642629615</v>
      </c>
      <c r="N896" s="304">
        <f t="shared" ca="1" si="394"/>
        <v>-86.614022112767117</v>
      </c>
      <c r="P896" s="310">
        <f t="shared" ca="1" si="395"/>
        <v>23</v>
      </c>
      <c r="Q896" s="304">
        <f t="shared" ca="1" si="396"/>
        <v>0</v>
      </c>
      <c r="R896" s="306">
        <f t="shared" ca="1" si="397"/>
        <v>0</v>
      </c>
      <c r="S896" s="307">
        <f t="shared" ca="1" si="398"/>
        <v>5.6519999999999806</v>
      </c>
      <c r="T896" s="304">
        <f t="shared" ca="1" si="378"/>
        <v>55.446119999999816</v>
      </c>
      <c r="U896" s="311">
        <f t="shared" ca="1" si="379"/>
        <v>0</v>
      </c>
      <c r="V896" s="306">
        <f t="shared" ca="1" si="380"/>
        <v>1.152249374335804</v>
      </c>
      <c r="W896" s="304">
        <f t="shared" ca="1" si="381"/>
        <v>52.26947960108987</v>
      </c>
      <c r="Y896" s="314" t="str">
        <f t="shared" ca="1" si="399"/>
        <v/>
      </c>
      <c r="Z896" s="315" t="str">
        <f t="shared" ca="1" si="400"/>
        <v/>
      </c>
      <c r="AA896" s="316" t="str">
        <f t="shared" ca="1" si="401"/>
        <v/>
      </c>
      <c r="AC896" s="310" t="e">
        <f t="shared" ca="1" si="402"/>
        <v>#N/A</v>
      </c>
      <c r="AD896" s="323" t="e">
        <f t="shared" ca="1" si="403"/>
        <v>#N/A</v>
      </c>
      <c r="AE896" s="324" t="e">
        <f t="shared" ca="1" si="382"/>
        <v>#N/A</v>
      </c>
      <c r="AG896" s="306">
        <f t="shared" ca="1" si="404"/>
        <v>0.56630694471758325</v>
      </c>
      <c r="AH896" s="304">
        <f t="shared" ca="1" si="405"/>
        <v>-9.2263632470909531</v>
      </c>
    </row>
    <row r="897" spans="1:34" x14ac:dyDescent="0.2">
      <c r="A897" s="347">
        <f t="shared" ca="1" si="383"/>
        <v>0.1</v>
      </c>
      <c r="B897" s="304">
        <f t="shared" ca="1" si="384"/>
        <v>57.300000000000473</v>
      </c>
      <c r="D897" s="306">
        <f t="shared" ca="1" si="385"/>
        <v>-0.54620376700830897</v>
      </c>
      <c r="E897" s="307">
        <f t="shared" ca="1" si="386"/>
        <v>-0.57818234108537858</v>
      </c>
      <c r="F897" s="304">
        <f t="shared" ca="1" si="387"/>
        <v>0.79538253352524413</v>
      </c>
      <c r="G897" s="306">
        <f t="shared" ca="1" si="388"/>
        <v>9.72230912440385</v>
      </c>
      <c r="H897" s="307">
        <f t="shared" ca="1" si="389"/>
        <v>-165.30536112937497</v>
      </c>
      <c r="I897" s="304">
        <f t="shared" ca="1" si="390"/>
        <v>165.59101942081139</v>
      </c>
      <c r="J897" s="306">
        <f t="shared" ca="1" si="391"/>
        <v>1385.136830236097</v>
      </c>
      <c r="K897" s="307">
        <f t="shared" ca="1" si="392"/>
        <v>595.52952010581635</v>
      </c>
      <c r="L897" s="304">
        <f t="shared" ca="1" si="377"/>
        <v>1507.7332150596028</v>
      </c>
      <c r="M897" s="306">
        <f t="shared" ca="1" si="393"/>
        <v>-1.5120497618152666</v>
      </c>
      <c r="N897" s="304">
        <f t="shared" ca="1" si="394"/>
        <v>-86.634069765776161</v>
      </c>
      <c r="P897" s="310">
        <f t="shared" ca="1" si="395"/>
        <v>23</v>
      </c>
      <c r="Q897" s="304">
        <f t="shared" ca="1" si="396"/>
        <v>0</v>
      </c>
      <c r="R897" s="306">
        <f t="shared" ca="1" si="397"/>
        <v>0</v>
      </c>
      <c r="S897" s="307">
        <f t="shared" ca="1" si="398"/>
        <v>5.6519999999999806</v>
      </c>
      <c r="T897" s="304">
        <f t="shared" ca="1" si="378"/>
        <v>55.446119999999816</v>
      </c>
      <c r="U897" s="311">
        <f t="shared" ca="1" si="379"/>
        <v>0</v>
      </c>
      <c r="V897" s="306">
        <f t="shared" ca="1" si="380"/>
        <v>1.1541570861125519</v>
      </c>
      <c r="W897" s="304">
        <f t="shared" ca="1" si="381"/>
        <v>52.390500310729514</v>
      </c>
      <c r="Y897" s="314" t="str">
        <f t="shared" ca="1" si="399"/>
        <v/>
      </c>
      <c r="Z897" s="315" t="str">
        <f t="shared" ca="1" si="400"/>
        <v/>
      </c>
      <c r="AA897" s="316" t="str">
        <f t="shared" ca="1" si="401"/>
        <v/>
      </c>
      <c r="AC897" s="310" t="e">
        <f t="shared" ca="1" si="402"/>
        <v>#N/A</v>
      </c>
      <c r="AD897" s="323" t="e">
        <f t="shared" ca="1" si="403"/>
        <v>#N/A</v>
      </c>
      <c r="AE897" s="324" t="e">
        <f t="shared" ca="1" si="382"/>
        <v>#N/A</v>
      </c>
      <c r="AG897" s="306">
        <f t="shared" ca="1" si="404"/>
        <v>0.54491308981117825</v>
      </c>
      <c r="AH897" s="304">
        <f t="shared" ca="1" si="405"/>
        <v>-9.2479617128609437</v>
      </c>
    </row>
    <row r="898" spans="1:34" x14ac:dyDescent="0.2">
      <c r="A898" s="347">
        <f t="shared" ca="1" si="383"/>
        <v>0.1</v>
      </c>
      <c r="B898" s="304">
        <f t="shared" ca="1" si="384"/>
        <v>57.400000000000475</v>
      </c>
      <c r="D898" s="306">
        <f t="shared" ca="1" si="385"/>
        <v>-0.5442307021756535</v>
      </c>
      <c r="E898" s="307">
        <f t="shared" ca="1" si="386"/>
        <v>-0.55661671320226169</v>
      </c>
      <c r="F898" s="304">
        <f t="shared" ca="1" si="387"/>
        <v>0.77846594184119178</v>
      </c>
      <c r="G898" s="306">
        <f t="shared" ca="1" si="388"/>
        <v>9.667886054186285</v>
      </c>
      <c r="H898" s="307">
        <f t="shared" ca="1" si="389"/>
        <v>-165.3610228006952</v>
      </c>
      <c r="I898" s="304">
        <f t="shared" ca="1" si="390"/>
        <v>165.6433997551631</v>
      </c>
      <c r="J898" s="306">
        <f t="shared" ca="1" si="391"/>
        <v>1386.1063399950265</v>
      </c>
      <c r="K898" s="307">
        <f t="shared" ca="1" si="392"/>
        <v>578.99620090931285</v>
      </c>
      <c r="L898" s="304">
        <f t="shared" ca="1" si="377"/>
        <v>1502.1742197367871</v>
      </c>
      <c r="M898" s="306">
        <f t="shared" ca="1" si="393"/>
        <v>-1.5123974800980988</v>
      </c>
      <c r="N898" s="304">
        <f t="shared" ca="1" si="394"/>
        <v>-86.653992555841981</v>
      </c>
      <c r="P898" s="310">
        <f t="shared" ca="1" si="395"/>
        <v>23</v>
      </c>
      <c r="Q898" s="304">
        <f t="shared" ca="1" si="396"/>
        <v>0</v>
      </c>
      <c r="R898" s="306">
        <f t="shared" ca="1" si="397"/>
        <v>0</v>
      </c>
      <c r="S898" s="307">
        <f t="shared" ca="1" si="398"/>
        <v>5.6519999999999806</v>
      </c>
      <c r="T898" s="304">
        <f t="shared" ca="1" si="378"/>
        <v>55.446119999999816</v>
      </c>
      <c r="U898" s="311">
        <f t="shared" ca="1" si="379"/>
        <v>0</v>
      </c>
      <c r="V898" s="306">
        <f t="shared" ca="1" si="380"/>
        <v>1.1560685186790045</v>
      </c>
      <c r="W898" s="304">
        <f t="shared" ca="1" si="381"/>
        <v>52.510470554851665</v>
      </c>
      <c r="Y898" s="314" t="str">
        <f t="shared" ca="1" si="399"/>
        <v/>
      </c>
      <c r="Z898" s="315" t="str">
        <f t="shared" ca="1" si="400"/>
        <v/>
      </c>
      <c r="AA898" s="316" t="str">
        <f t="shared" ca="1" si="401"/>
        <v/>
      </c>
      <c r="AC898" s="310" t="e">
        <f t="shared" ca="1" si="402"/>
        <v>#N/A</v>
      </c>
      <c r="AD898" s="323" t="e">
        <f t="shared" ca="1" si="403"/>
        <v>#N/A</v>
      </c>
      <c r="AE898" s="324" t="e">
        <f t="shared" ca="1" si="382"/>
        <v>#N/A</v>
      </c>
      <c r="AG898" s="306">
        <f t="shared" ca="1" si="404"/>
        <v>0.52370320545356464</v>
      </c>
      <c r="AH898" s="304">
        <f t="shared" ca="1" si="405"/>
        <v>-9.2693737280130382</v>
      </c>
    </row>
    <row r="899" spans="1:34" x14ac:dyDescent="0.2">
      <c r="A899" s="347">
        <f t="shared" ca="1" si="383"/>
        <v>0.1</v>
      </c>
      <c r="B899" s="304">
        <f t="shared" ca="1" si="384"/>
        <v>57.500000000000476</v>
      </c>
      <c r="D899" s="306">
        <f t="shared" ca="1" si="385"/>
        <v>-0.54225197746631848</v>
      </c>
      <c r="E899" s="307">
        <f t="shared" ca="1" si="386"/>
        <v>-0.53523806063030044</v>
      </c>
      <c r="F899" s="304">
        <f t="shared" ca="1" si="387"/>
        <v>0.76191665463711844</v>
      </c>
      <c r="G899" s="306">
        <f t="shared" ca="1" si="388"/>
        <v>9.6136608564396528</v>
      </c>
      <c r="H899" s="307">
        <f t="shared" ca="1" si="389"/>
        <v>-165.41454660675822</v>
      </c>
      <c r="I899" s="304">
        <f t="shared" ca="1" si="390"/>
        <v>165.69367732107955</v>
      </c>
      <c r="J899" s="306">
        <f t="shared" ca="1" si="391"/>
        <v>1387.0704173405577</v>
      </c>
      <c r="K899" s="307">
        <f t="shared" ca="1" si="392"/>
        <v>562.45742243894017</v>
      </c>
      <c r="L899" s="304">
        <f t="shared" ca="1" si="377"/>
        <v>1496.770755566117</v>
      </c>
      <c r="M899" s="306">
        <f t="shared" ca="1" si="393"/>
        <v>-1.5127430377123983</v>
      </c>
      <c r="N899" s="304">
        <f t="shared" ca="1" si="394"/>
        <v>-86.673791548719947</v>
      </c>
      <c r="P899" s="310">
        <f t="shared" ca="1" si="395"/>
        <v>23</v>
      </c>
      <c r="Q899" s="304">
        <f t="shared" ca="1" si="396"/>
        <v>0</v>
      </c>
      <c r="R899" s="306">
        <f t="shared" ca="1" si="397"/>
        <v>0</v>
      </c>
      <c r="S899" s="307">
        <f t="shared" ca="1" si="398"/>
        <v>5.6519999999999806</v>
      </c>
      <c r="T899" s="304">
        <f t="shared" ca="1" si="378"/>
        <v>55.446119999999816</v>
      </c>
      <c r="U899" s="311">
        <f t="shared" ca="1" si="379"/>
        <v>0</v>
      </c>
      <c r="V899" s="306">
        <f t="shared" ca="1" si="380"/>
        <v>1.1579836577085565</v>
      </c>
      <c r="W899" s="304">
        <f t="shared" ca="1" si="381"/>
        <v>52.629393763235619</v>
      </c>
      <c r="Y899" s="314" t="str">
        <f t="shared" ca="1" si="399"/>
        <v/>
      </c>
      <c r="Z899" s="315" t="str">
        <f t="shared" ca="1" si="400"/>
        <v/>
      </c>
      <c r="AA899" s="316" t="str">
        <f t="shared" ca="1" si="401"/>
        <v/>
      </c>
      <c r="AC899" s="310" t="e">
        <f t="shared" ca="1" si="402"/>
        <v>#N/A</v>
      </c>
      <c r="AD899" s="323" t="e">
        <f t="shared" ca="1" si="403"/>
        <v>#N/A</v>
      </c>
      <c r="AE899" s="324" t="e">
        <f t="shared" ca="1" si="382"/>
        <v>#N/A</v>
      </c>
      <c r="AG899" s="306">
        <f t="shared" ca="1" si="404"/>
        <v>0.50267673170171179</v>
      </c>
      <c r="AH899" s="304">
        <f t="shared" ca="1" si="405"/>
        <v>-9.2905998858548919</v>
      </c>
    </row>
    <row r="900" spans="1:34" x14ac:dyDescent="0.2">
      <c r="A900" s="347">
        <f t="shared" ca="1" si="383"/>
        <v>0.1</v>
      </c>
      <c r="B900" s="304">
        <f t="shared" ca="1" si="384"/>
        <v>57.600000000000477</v>
      </c>
      <c r="D900" s="306">
        <f t="shared" ca="1" si="385"/>
        <v>-0.54026778842902057</v>
      </c>
      <c r="E900" s="307">
        <f t="shared" ca="1" si="386"/>
        <v>-0.51404577363888926</v>
      </c>
      <c r="F900" s="304">
        <f t="shared" ca="1" si="387"/>
        <v>0.74574281130292441</v>
      </c>
      <c r="G900" s="306">
        <f t="shared" ca="1" si="388"/>
        <v>9.5596340775967512</v>
      </c>
      <c r="H900" s="307">
        <f t="shared" ca="1" si="389"/>
        <v>-165.4659511841221</v>
      </c>
      <c r="I900" s="304">
        <f t="shared" ca="1" si="390"/>
        <v>165.7418704038416</v>
      </c>
      <c r="J900" s="306">
        <f t="shared" ca="1" si="391"/>
        <v>1388.0290820872594</v>
      </c>
      <c r="K900" s="307">
        <f t="shared" ca="1" si="392"/>
        <v>545.91339754939611</v>
      </c>
      <c r="L900" s="304">
        <f t="shared" ref="L900:L963" ca="1" si="406">SQRT(pos_x^2+pos_z^2)</f>
        <v>1491.5247803318337</v>
      </c>
      <c r="M900" s="306">
        <f t="shared" ca="1" si="393"/>
        <v>-1.5130864530131785</v>
      </c>
      <c r="N900" s="304">
        <f t="shared" ca="1" si="394"/>
        <v>-86.69346779607487</v>
      </c>
      <c r="P900" s="310">
        <f t="shared" ca="1" si="395"/>
        <v>23</v>
      </c>
      <c r="Q900" s="304">
        <f t="shared" ca="1" si="396"/>
        <v>0</v>
      </c>
      <c r="R900" s="306">
        <f t="shared" ca="1" si="397"/>
        <v>0</v>
      </c>
      <c r="S900" s="307">
        <f t="shared" ca="1" si="398"/>
        <v>5.6519999999999806</v>
      </c>
      <c r="T900" s="304">
        <f t="shared" ref="T900:T963" ca="1" si="407">m*g</f>
        <v>55.446119999999816</v>
      </c>
      <c r="U900" s="311">
        <f t="shared" ref="U900:U963" ca="1" si="408">IF(pos_xz&lt;L_rampe,Poids*COS(Beta),0)</f>
        <v>0</v>
      </c>
      <c r="V900" s="306">
        <f t="shared" ref="V900:V963" ca="1" si="409">Rho_moyen*(20000-Alt_rampe-pos_z)/(20000+Alt_rampe+pos_z)</f>
        <v>1.1599024889710892</v>
      </c>
      <c r="W900" s="304">
        <f t="shared" ref="W900:W963" ca="1" si="410">1/2*Rho*Sref*Cx*vit_xz^2</f>
        <v>52.747273440401884</v>
      </c>
      <c r="Y900" s="314" t="str">
        <f t="shared" ca="1" si="399"/>
        <v/>
      </c>
      <c r="Z900" s="315" t="str">
        <f t="shared" ca="1" si="400"/>
        <v/>
      </c>
      <c r="AA900" s="316" t="str">
        <f t="shared" ca="1" si="401"/>
        <v/>
      </c>
      <c r="AC900" s="310" t="e">
        <f t="shared" ca="1" si="402"/>
        <v>#N/A</v>
      </c>
      <c r="AD900" s="323" t="e">
        <f t="shared" ca="1" si="403"/>
        <v>#N/A</v>
      </c>
      <c r="AE900" s="324" t="e">
        <f t="shared" ref="AE900:AE963" ca="1" si="411">IF(t&lt;T_para, pos_z, NA())</f>
        <v>#N/A</v>
      </c>
      <c r="AG900" s="306">
        <f t="shared" ca="1" si="404"/>
        <v>0.48183309455601808</v>
      </c>
      <c r="AH900" s="304">
        <f t="shared" ca="1" si="405"/>
        <v>-9.3116407932122787</v>
      </c>
    </row>
    <row r="901" spans="1:34" x14ac:dyDescent="0.2">
      <c r="A901" s="347">
        <f t="shared" ref="A901:A964" ca="1" si="412">IF(B900+0.01&lt;=T_ini+ROUNDUP(Temps_fin_propu,0), 0.01, IF(K900&gt;0, 0.1, 0.0001))</f>
        <v>0.1</v>
      </c>
      <c r="B901" s="304">
        <f t="shared" ref="B901:B964" ca="1" si="413">B900+pas</f>
        <v>57.700000000000479</v>
      </c>
      <c r="D901" s="306">
        <f t="shared" ref="D901:D964" ca="1" si="414">IF(AND(L900&lt;L_rampe,Poussee&lt;Poids*SIN(M900)),0,(-W900+Poussee)/m*COS(M900)-U900/m*SIN(M900))</f>
        <v>-0.53827832884565463</v>
      </c>
      <c r="E901" s="307">
        <f t="shared" ref="E901:E964" ca="1" si="415">IF(AND(L900&lt;L_rampe,Poussee&lt;Poids*SIN(M900)),0,(-W900+Poussee)/m*SIN(M900)+U900/m*COS(M900)-Poids/m)</f>
        <v>-0.49303922919226117</v>
      </c>
      <c r="F901" s="304">
        <f t="shared" ref="F901:F964" ca="1" si="416">SQRT(acc_x^2+acc_z^2)</f>
        <v>0.72995290315702543</v>
      </c>
      <c r="G901" s="306">
        <f t="shared" ref="G901:G964" ca="1" si="417">G900+acc_x*pas</f>
        <v>9.5058062447121863</v>
      </c>
      <c r="H901" s="307">
        <f t="shared" ref="H901:H964" ca="1" si="418">H900+acc_z*pas</f>
        <v>-165.51525510704133</v>
      </c>
      <c r="I901" s="304">
        <f t="shared" ref="I901:I964" ca="1" si="419">SQRT(vit_x^2+vit_z^2)</f>
        <v>165.78799722992909</v>
      </c>
      <c r="J901" s="306">
        <f t="shared" ref="J901:J964" ca="1" si="420">J900+0.5*(vit_x+G900)*pas*(K900&gt;=0)</f>
        <v>1388.982354103375</v>
      </c>
      <c r="K901" s="307">
        <f t="shared" ref="K901:K964" ca="1" si="421">K900+0.5*(vit_z+H900)*pas</f>
        <v>529.36433723483799</v>
      </c>
      <c r="L901" s="304">
        <f t="shared" ca="1" si="406"/>
        <v>1486.4382198889507</v>
      </c>
      <c r="M901" s="306">
        <f t="shared" ref="M901:M964" ca="1" si="422">IF(AND(L900&gt;L_rampe,G901&gt;0),ATAN2(G901,H901),$M$4)</f>
        <v>-1.5134277441137041</v>
      </c>
      <c r="N901" s="304">
        <f t="shared" ref="N901:N964" ca="1" si="423">DEGREES(Beta)</f>
        <v>-86.713022335720368</v>
      </c>
      <c r="P901" s="310">
        <f t="shared" ref="P901:P964" ca="1" si="424">MATCH(t-pas/2-T_ini,CdP_t)</f>
        <v>23</v>
      </c>
      <c r="Q901" s="304">
        <f t="shared" ref="Q901:Q964" ca="1" si="425">(INDEX(CdP,2,i_P+1)-INDEX(CdP,2,i_P+0))/(INDEX(CdP,1,i_P+1)-INDEX(CdP,1,i_P+0))*(t-pas/2-T_ini-INDEX(CdP,1,i_P+0))+INDEX(CdP,2,i_P+0)</f>
        <v>0</v>
      </c>
      <c r="R901" s="306">
        <f t="shared" ref="R901:R964" ca="1" si="426">Poussee/(g*ISP)</f>
        <v>0</v>
      </c>
      <c r="S901" s="307">
        <f t="shared" ref="S901:S964" ca="1" si="427">S900-Débit*pas</f>
        <v>5.6519999999999806</v>
      </c>
      <c r="T901" s="304">
        <f t="shared" ca="1" si="407"/>
        <v>55.446119999999816</v>
      </c>
      <c r="U901" s="311">
        <f t="shared" ca="1" si="408"/>
        <v>0</v>
      </c>
      <c r="V901" s="306">
        <f t="shared" ca="1" si="409"/>
        <v>1.1618249983330931</v>
      </c>
      <c r="W901" s="304">
        <f t="shared" ca="1" si="410"/>
        <v>52.864113163959026</v>
      </c>
      <c r="Y901" s="314" t="str">
        <f t="shared" ref="Y901:Y964" ca="1" si="428">IF(AND(pos_z&lt;=0,K900&gt;0),"Impact balistique","") &amp; IF(AND(H902&lt;0,vit_z&gt;=0),"Apogée","") &amp; IF(AND(Poussee=0,Q900&gt;0),"Fin de propulsion","") &amp; IF(AND(L902&gt;L_rampe,pos_xz&lt;=L_rampe),"Sortie de rampe","")</f>
        <v/>
      </c>
      <c r="Z901" s="315" t="str">
        <f t="shared" ref="Z901:Z964" ca="1" si="429">IF(ABS(t-T_para)&lt;pas/2,"Para","")</f>
        <v/>
      </c>
      <c r="AA901" s="316" t="str">
        <f t="shared" ref="AA901:AA964" ca="1" si="430">IF(ABS(t-T_satellite)&lt;pas/2,"Satellite","")</f>
        <v/>
      </c>
      <c r="AC901" s="310" t="e">
        <f t="shared" ref="AC901:AC964" ca="1" si="431">IF(ABS(t-ROUND(t,0))&lt;0.001,t,NA())</f>
        <v>#N/A</v>
      </c>
      <c r="AD901" s="323" t="e">
        <f t="shared" ref="AD901:AD964" ca="1" si="432">IF(ABS(t-ROUND(t,0))&lt;0.001,pos_x,NA())</f>
        <v>#N/A</v>
      </c>
      <c r="AE901" s="324" t="e">
        <f t="shared" ca="1" si="411"/>
        <v>#N/A</v>
      </c>
      <c r="AG901" s="306">
        <f t="shared" ref="AG901:AG964" ca="1" si="433">IF(AND(L900&lt;L_rampe,Poussee&lt;Poids*SIN(M900)),0,(-W900+Poussee)/m-Poids*SIN(M900)/m)</f>
        <v>0.46117170626516391</v>
      </c>
      <c r="AH901" s="304">
        <f t="shared" ref="AH901:AH964" ca="1" si="434">IF(AND(L900&lt;L_rampe,Poussee&lt;Poids*SIN(M900)), g*SIN(M900), (-W900+Poussee)/m)</f>
        <v>-9.3324970701348313</v>
      </c>
    </row>
    <row r="902" spans="1:34" x14ac:dyDescent="0.2">
      <c r="A902" s="347">
        <f t="shared" ca="1" si="412"/>
        <v>0.1</v>
      </c>
      <c r="B902" s="304">
        <f t="shared" ca="1" si="413"/>
        <v>57.80000000000048</v>
      </c>
      <c r="D902" s="306">
        <f t="shared" ca="1" si="414"/>
        <v>-0.53628379072584387</v>
      </c>
      <c r="E902" s="307">
        <f t="shared" ca="1" si="415"/>
        <v>-0.47221779124358498</v>
      </c>
      <c r="F902" s="304">
        <f t="shared" ca="1" si="416"/>
        <v>0.71455576868586734</v>
      </c>
      <c r="G902" s="306">
        <f t="shared" ca="1" si="417"/>
        <v>9.4521778656396016</v>
      </c>
      <c r="H902" s="307">
        <f t="shared" ca="1" si="418"/>
        <v>-165.56247688616568</v>
      </c>
      <c r="I902" s="304">
        <f t="shared" ca="1" si="419"/>
        <v>165.8320759656763</v>
      </c>
      <c r="J902" s="306">
        <f t="shared" ca="1" si="420"/>
        <v>1389.9302533088926</v>
      </c>
      <c r="K902" s="307">
        <f t="shared" ca="1" si="421"/>
        <v>512.81045063517763</v>
      </c>
      <c r="L902" s="304">
        <f t="shared" ca="1" si="406"/>
        <v>1481.5129656347854</v>
      </c>
      <c r="M902" s="306">
        <f t="shared" ca="1" si="422"/>
        <v>-1.5137669288895852</v>
      </c>
      <c r="N902" s="304">
        <f t="shared" ca="1" si="423"/>
        <v>-86.732456191853444</v>
      </c>
      <c r="P902" s="310">
        <f t="shared" ca="1" si="424"/>
        <v>23</v>
      </c>
      <c r="Q902" s="304">
        <f t="shared" ca="1" si="425"/>
        <v>0</v>
      </c>
      <c r="R902" s="306">
        <f t="shared" ca="1" si="426"/>
        <v>0</v>
      </c>
      <c r="S902" s="307">
        <f t="shared" ca="1" si="427"/>
        <v>5.6519999999999806</v>
      </c>
      <c r="T902" s="304">
        <f t="shared" ca="1" si="407"/>
        <v>55.446119999999816</v>
      </c>
      <c r="U902" s="311">
        <f t="shared" ca="1" si="408"/>
        <v>0</v>
      </c>
      <c r="V902" s="306">
        <f t="shared" ca="1" si="409"/>
        <v>1.1637511717577793</v>
      </c>
      <c r="W902" s="304">
        <f t="shared" ca="1" si="410"/>
        <v>52.979916582960897</v>
      </c>
      <c r="Y902" s="314" t="str">
        <f t="shared" ca="1" si="428"/>
        <v/>
      </c>
      <c r="Z902" s="315" t="str">
        <f t="shared" ca="1" si="429"/>
        <v/>
      </c>
      <c r="AA902" s="316" t="str">
        <f t="shared" ca="1" si="430"/>
        <v/>
      </c>
      <c r="AC902" s="310" t="e">
        <f t="shared" ca="1" si="431"/>
        <v>#N/A</v>
      </c>
      <c r="AD902" s="323" t="e">
        <f t="shared" ca="1" si="432"/>
        <v>#N/A</v>
      </c>
      <c r="AE902" s="324" t="e">
        <f t="shared" ca="1" si="411"/>
        <v>#N/A</v>
      </c>
      <c r="AG902" s="306">
        <f t="shared" ca="1" si="433"/>
        <v>0.44069196562896096</v>
      </c>
      <c r="AH902" s="304">
        <f t="shared" ca="1" si="434"/>
        <v>-9.3531693496035402</v>
      </c>
    </row>
    <row r="903" spans="1:34" x14ac:dyDescent="0.2">
      <c r="A903" s="347">
        <f t="shared" ca="1" si="412"/>
        <v>0.1</v>
      </c>
      <c r="B903" s="304">
        <f t="shared" ca="1" si="413"/>
        <v>57.900000000000482</v>
      </c>
      <c r="D903" s="306">
        <f t="shared" ca="1" si="414"/>
        <v>-0.53428436430197512</v>
      </c>
      <c r="E903" s="307">
        <f t="shared" ca="1" si="415"/>
        <v>-0.45158081102719727</v>
      </c>
      <c r="F903" s="304">
        <f t="shared" ca="1" si="416"/>
        <v>0.699560584099438</v>
      </c>
      <c r="G903" s="306">
        <f t="shared" ca="1" si="417"/>
        <v>9.3987494292094045</v>
      </c>
      <c r="H903" s="307">
        <f t="shared" ca="1" si="418"/>
        <v>-165.60763496726841</v>
      </c>
      <c r="I903" s="304">
        <f t="shared" ca="1" si="419"/>
        <v>165.87412471595769</v>
      </c>
      <c r="J903" s="306">
        <f t="shared" ca="1" si="420"/>
        <v>1390.872799673635</v>
      </c>
      <c r="K903" s="307">
        <f t="shared" ca="1" si="421"/>
        <v>496.25194504250595</v>
      </c>
      <c r="L903" s="304">
        <f t="shared" ca="1" si="406"/>
        <v>1476.7508719585867</v>
      </c>
      <c r="M903" s="306">
        <f t="shared" ca="1" si="422"/>
        <v>-1.5141040249827931</v>
      </c>
      <c r="N903" s="304">
        <f t="shared" ca="1" si="423"/>
        <v>-86.751770375284593</v>
      </c>
      <c r="P903" s="310">
        <f t="shared" ca="1" si="424"/>
        <v>23</v>
      </c>
      <c r="Q903" s="304">
        <f t="shared" ca="1" si="425"/>
        <v>0</v>
      </c>
      <c r="R903" s="306">
        <f t="shared" ca="1" si="426"/>
        <v>0</v>
      </c>
      <c r="S903" s="307">
        <f t="shared" ca="1" si="427"/>
        <v>5.6519999999999806</v>
      </c>
      <c r="T903" s="304">
        <f t="shared" ca="1" si="407"/>
        <v>55.446119999999816</v>
      </c>
      <c r="U903" s="311">
        <f t="shared" ca="1" si="408"/>
        <v>0</v>
      </c>
      <c r="V903" s="306">
        <f t="shared" ca="1" si="409"/>
        <v>1.1656809953051825</v>
      </c>
      <c r="W903" s="304">
        <f t="shared" ca="1" si="410"/>
        <v>53.094687416274873</v>
      </c>
      <c r="Y903" s="314" t="str">
        <f t="shared" ca="1" si="428"/>
        <v/>
      </c>
      <c r="Z903" s="315" t="str">
        <f t="shared" ca="1" si="429"/>
        <v/>
      </c>
      <c r="AA903" s="316" t="str">
        <f t="shared" ca="1" si="430"/>
        <v/>
      </c>
      <c r="AC903" s="310" t="e">
        <f t="shared" ca="1" si="431"/>
        <v>#N/A</v>
      </c>
      <c r="AD903" s="323" t="e">
        <f t="shared" ca="1" si="432"/>
        <v>#N/A</v>
      </c>
      <c r="AE903" s="324" t="e">
        <f t="shared" ca="1" si="411"/>
        <v>#N/A</v>
      </c>
      <c r="AG903" s="306">
        <f t="shared" ca="1" si="433"/>
        <v>0.42039325829909657</v>
      </c>
      <c r="AH903" s="304">
        <f t="shared" ca="1" si="434"/>
        <v>-9.3736582772401054</v>
      </c>
    </row>
    <row r="904" spans="1:34" x14ac:dyDescent="0.2">
      <c r="A904" s="347">
        <f t="shared" ca="1" si="412"/>
        <v>0.1</v>
      </c>
      <c r="B904" s="304">
        <f t="shared" ca="1" si="413"/>
        <v>58.000000000000483</v>
      </c>
      <c r="D904" s="306">
        <f t="shared" ca="1" si="414"/>
        <v>-0.5322802380246846</v>
      </c>
      <c r="E904" s="307">
        <f t="shared" ca="1" si="415"/>
        <v>-0.43112762734888221</v>
      </c>
      <c r="F904" s="304">
        <f t="shared" ca="1" si="416"/>
        <v>0.6849768484080988</v>
      </c>
      <c r="G904" s="306">
        <f t="shared" ca="1" si="417"/>
        <v>9.3455214054069362</v>
      </c>
      <c r="H904" s="307">
        <f t="shared" ca="1" si="418"/>
        <v>-165.6507477300033</v>
      </c>
      <c r="I904" s="304">
        <f t="shared" ca="1" si="419"/>
        <v>165.9141615229035</v>
      </c>
      <c r="J904" s="306">
        <f t="shared" ca="1" si="420"/>
        <v>1391.8100132153659</v>
      </c>
      <c r="K904" s="307">
        <f t="shared" ca="1" si="421"/>
        <v>479.68902590764236</v>
      </c>
      <c r="L904" s="304">
        <f t="shared" ca="1" si="406"/>
        <v>1472.1537536761505</v>
      </c>
      <c r="M904" s="306">
        <f t="shared" ca="1" si="422"/>
        <v>-1.5144390498055995</v>
      </c>
      <c r="N904" s="304">
        <f t="shared" ca="1" si="423"/>
        <v>-86.770965883663521</v>
      </c>
      <c r="P904" s="310">
        <f t="shared" ca="1" si="424"/>
        <v>23</v>
      </c>
      <c r="Q904" s="304">
        <f t="shared" ca="1" si="425"/>
        <v>0</v>
      </c>
      <c r="R904" s="306">
        <f t="shared" ca="1" si="426"/>
        <v>0</v>
      </c>
      <c r="S904" s="307">
        <f t="shared" ca="1" si="427"/>
        <v>5.6519999999999806</v>
      </c>
      <c r="T904" s="304">
        <f t="shared" ca="1" si="407"/>
        <v>55.446119999999816</v>
      </c>
      <c r="U904" s="311">
        <f t="shared" ca="1" si="408"/>
        <v>0</v>
      </c>
      <c r="V904" s="306">
        <f t="shared" ca="1" si="409"/>
        <v>1.1676144551322534</v>
      </c>
      <c r="W904" s="304">
        <f t="shared" ca="1" si="410"/>
        <v>53.208429450961127</v>
      </c>
      <c r="Y904" s="314" t="str">
        <f t="shared" ca="1" si="428"/>
        <v/>
      </c>
      <c r="Z904" s="315" t="str">
        <f t="shared" ca="1" si="429"/>
        <v/>
      </c>
      <c r="AA904" s="316" t="str">
        <f t="shared" ca="1" si="430"/>
        <v/>
      </c>
      <c r="AC904" s="310">
        <f t="shared" ca="1" si="431"/>
        <v>58.000000000000483</v>
      </c>
      <c r="AD904" s="323">
        <f t="shared" ca="1" si="432"/>
        <v>1391.8100132153659</v>
      </c>
      <c r="AE904" s="324" t="e">
        <f t="shared" ca="1" si="411"/>
        <v>#N/A</v>
      </c>
      <c r="AG904" s="306">
        <f t="shared" ca="1" si="433"/>
        <v>0.40027495707771976</v>
      </c>
      <c r="AH904" s="304">
        <f t="shared" ca="1" si="434"/>
        <v>-9.3939645110182326</v>
      </c>
    </row>
    <row r="905" spans="1:34" x14ac:dyDescent="0.2">
      <c r="A905" s="347">
        <f t="shared" ca="1" si="412"/>
        <v>0.1</v>
      </c>
      <c r="B905" s="304">
        <f t="shared" ca="1" si="413"/>
        <v>58.100000000000485</v>
      </c>
      <c r="D905" s="306">
        <f t="shared" ca="1" si="414"/>
        <v>-0.53027159855877903</v>
      </c>
      <c r="E905" s="307">
        <f t="shared" ca="1" si="415"/>
        <v>-0.41085756687420094</v>
      </c>
      <c r="F905" s="304">
        <f t="shared" ca="1" si="416"/>
        <v>0.67081436217173485</v>
      </c>
      <c r="G905" s="306">
        <f t="shared" ca="1" si="417"/>
        <v>9.2924942455510582</v>
      </c>
      <c r="H905" s="307">
        <f t="shared" ca="1" si="418"/>
        <v>-165.69183348669071</v>
      </c>
      <c r="I905" s="304">
        <f t="shared" ca="1" si="419"/>
        <v>165.95220436464481</v>
      </c>
      <c r="J905" s="306">
        <f t="shared" ca="1" si="420"/>
        <v>1392.7419139979138</v>
      </c>
      <c r="K905" s="307">
        <f t="shared" ca="1" si="421"/>
        <v>463.12189684680766</v>
      </c>
      <c r="L905" s="304">
        <f t="shared" ca="1" si="406"/>
        <v>1467.7233834566912</v>
      </c>
      <c r="M905" s="306">
        <f t="shared" ca="1" si="422"/>
        <v>-1.5147720205444366</v>
      </c>
      <c r="N905" s="304">
        <f t="shared" ca="1" si="423"/>
        <v>-86.790043701700242</v>
      </c>
      <c r="P905" s="310">
        <f t="shared" ca="1" si="424"/>
        <v>23</v>
      </c>
      <c r="Q905" s="304">
        <f t="shared" ca="1" si="425"/>
        <v>0</v>
      </c>
      <c r="R905" s="306">
        <f t="shared" ca="1" si="426"/>
        <v>0</v>
      </c>
      <c r="S905" s="307">
        <f t="shared" ca="1" si="427"/>
        <v>5.6519999999999806</v>
      </c>
      <c r="T905" s="304">
        <f t="shared" ca="1" si="407"/>
        <v>55.446119999999816</v>
      </c>
      <c r="U905" s="311">
        <f t="shared" ca="1" si="408"/>
        <v>0</v>
      </c>
      <c r="V905" s="306">
        <f t="shared" ca="1" si="409"/>
        <v>1.1695515374929415</v>
      </c>
      <c r="W905" s="304">
        <f t="shared" ca="1" si="410"/>
        <v>53.321146540663165</v>
      </c>
      <c r="Y905" s="314" t="str">
        <f t="shared" ca="1" si="428"/>
        <v/>
      </c>
      <c r="Z905" s="315" t="str">
        <f t="shared" ca="1" si="429"/>
        <v/>
      </c>
      <c r="AA905" s="316" t="str">
        <f t="shared" ca="1" si="430"/>
        <v/>
      </c>
      <c r="AC905" s="310" t="e">
        <f t="shared" ca="1" si="431"/>
        <v>#N/A</v>
      </c>
      <c r="AD905" s="323" t="e">
        <f t="shared" ca="1" si="432"/>
        <v>#N/A</v>
      </c>
      <c r="AE905" s="324" t="e">
        <f t="shared" ca="1" si="411"/>
        <v>#N/A</v>
      </c>
      <c r="AG905" s="306">
        <f t="shared" ca="1" si="433"/>
        <v>0.38033642221384412</v>
      </c>
      <c r="AH905" s="304">
        <f t="shared" ca="1" si="434"/>
        <v>-9.4140887209768778</v>
      </c>
    </row>
    <row r="906" spans="1:34" x14ac:dyDescent="0.2">
      <c r="A906" s="347">
        <f t="shared" ca="1" si="412"/>
        <v>0.1</v>
      </c>
      <c r="B906" s="304">
        <f t="shared" ca="1" si="413"/>
        <v>58.200000000000486</v>
      </c>
      <c r="D906" s="306">
        <f t="shared" ca="1" si="414"/>
        <v>-0.52825863077963697</v>
      </c>
      <c r="E906" s="307">
        <f t="shared" ca="1" si="415"/>
        <v>-0.39076994441481183</v>
      </c>
      <c r="F906" s="304">
        <f t="shared" ca="1" si="416"/>
        <v>0.6570831990327648</v>
      </c>
      <c r="G906" s="306">
        <f t="shared" ca="1" si="417"/>
        <v>9.239668382473095</v>
      </c>
      <c r="H906" s="307">
        <f t="shared" ca="1" si="418"/>
        <v>-165.73091048113218</v>
      </c>
      <c r="I906" s="304">
        <f t="shared" ca="1" si="419"/>
        <v>165.98827115408824</v>
      </c>
      <c r="J906" s="306">
        <f t="shared" ca="1" si="420"/>
        <v>1393.6685221293151</v>
      </c>
      <c r="K906" s="307">
        <f t="shared" ca="1" si="421"/>
        <v>446.55075964841649</v>
      </c>
      <c r="L906" s="304">
        <f t="shared" ca="1" si="406"/>
        <v>1463.4614892496102</v>
      </c>
      <c r="M906" s="306">
        <f t="shared" ca="1" si="422"/>
        <v>-1.5151029541636845</v>
      </c>
      <c r="N906" s="304">
        <f t="shared" ca="1" si="423"/>
        <v>-86.809004801382144</v>
      </c>
      <c r="P906" s="310">
        <f t="shared" ca="1" si="424"/>
        <v>23</v>
      </c>
      <c r="Q906" s="304">
        <f t="shared" ca="1" si="425"/>
        <v>0</v>
      </c>
      <c r="R906" s="306">
        <f t="shared" ca="1" si="426"/>
        <v>0</v>
      </c>
      <c r="S906" s="307">
        <f t="shared" ca="1" si="427"/>
        <v>5.6519999999999806</v>
      </c>
      <c r="T906" s="304">
        <f t="shared" ca="1" si="407"/>
        <v>55.446119999999816</v>
      </c>
      <c r="U906" s="311">
        <f t="shared" ca="1" si="408"/>
        <v>0</v>
      </c>
      <c r="V906" s="306">
        <f t="shared" ca="1" si="409"/>
        <v>1.1714922287382699</v>
      </c>
      <c r="W906" s="304">
        <f t="shared" ca="1" si="410"/>
        <v>53.432842604010148</v>
      </c>
      <c r="Y906" s="314" t="str">
        <f t="shared" ca="1" si="428"/>
        <v/>
      </c>
      <c r="Z906" s="315" t="str">
        <f t="shared" ca="1" si="429"/>
        <v/>
      </c>
      <c r="AA906" s="316" t="str">
        <f t="shared" ca="1" si="430"/>
        <v/>
      </c>
      <c r="AC906" s="310" t="e">
        <f t="shared" ca="1" si="431"/>
        <v>#N/A</v>
      </c>
      <c r="AD906" s="323" t="e">
        <f t="shared" ca="1" si="432"/>
        <v>#N/A</v>
      </c>
      <c r="AE906" s="324" t="e">
        <f t="shared" ca="1" si="411"/>
        <v>#N/A</v>
      </c>
      <c r="AG906" s="306">
        <f t="shared" ca="1" si="433"/>
        <v>0.36057700169753204</v>
      </c>
      <c r="AH906" s="304">
        <f t="shared" ca="1" si="434"/>
        <v>-9.4340315889354827</v>
      </c>
    </row>
    <row r="907" spans="1:34" x14ac:dyDescent="0.2">
      <c r="A907" s="347">
        <f t="shared" ca="1" si="412"/>
        <v>0.1</v>
      </c>
      <c r="B907" s="304">
        <f t="shared" ca="1" si="413"/>
        <v>58.300000000000487</v>
      </c>
      <c r="D907" s="306">
        <f t="shared" ca="1" si="414"/>
        <v>-0.52624151777002548</v>
      </c>
      <c r="E907" s="307">
        <f t="shared" ca="1" si="415"/>
        <v>-0.37086406321269294</v>
      </c>
      <c r="F907" s="304">
        <f t="shared" ca="1" si="416"/>
        <v>0.64379366912662972</v>
      </c>
      <c r="G907" s="306">
        <f t="shared" ca="1" si="417"/>
        <v>9.1870442306960918</v>
      </c>
      <c r="H907" s="307">
        <f t="shared" ca="1" si="418"/>
        <v>-165.76799688745345</v>
      </c>
      <c r="I907" s="304">
        <f t="shared" ca="1" si="419"/>
        <v>166.02237973771955</v>
      </c>
      <c r="J907" s="306">
        <f t="shared" ca="1" si="420"/>
        <v>1394.5898577599735</v>
      </c>
      <c r="K907" s="307">
        <f t="shared" ca="1" si="421"/>
        <v>429.97581427998722</v>
      </c>
      <c r="L907" s="304">
        <f t="shared" ca="1" si="406"/>
        <v>1459.3697517191183</v>
      </c>
      <c r="M907" s="306">
        <f t="shared" ca="1" si="422"/>
        <v>-1.5154318674093861</v>
      </c>
      <c r="N907" s="304">
        <f t="shared" ca="1" si="423"/>
        <v>-86.82785014218679</v>
      </c>
      <c r="P907" s="310">
        <f t="shared" ca="1" si="424"/>
        <v>23</v>
      </c>
      <c r="Q907" s="304">
        <f t="shared" ca="1" si="425"/>
        <v>0</v>
      </c>
      <c r="R907" s="306">
        <f t="shared" ca="1" si="426"/>
        <v>0</v>
      </c>
      <c r="S907" s="307">
        <f t="shared" ca="1" si="427"/>
        <v>5.6519999999999806</v>
      </c>
      <c r="T907" s="304">
        <f t="shared" ca="1" si="407"/>
        <v>55.446119999999816</v>
      </c>
      <c r="U907" s="311">
        <f t="shared" ca="1" si="408"/>
        <v>0</v>
      </c>
      <c r="V907" s="306">
        <f t="shared" ca="1" si="409"/>
        <v>1.1734365153163988</v>
      </c>
      <c r="W907" s="304">
        <f t="shared" ca="1" si="410"/>
        <v>53.543521623030863</v>
      </c>
      <c r="Y907" s="314" t="str">
        <f t="shared" ca="1" si="428"/>
        <v/>
      </c>
      <c r="Z907" s="315" t="str">
        <f t="shared" ca="1" si="429"/>
        <v/>
      </c>
      <c r="AA907" s="316" t="str">
        <f t="shared" ca="1" si="430"/>
        <v/>
      </c>
      <c r="AC907" s="310" t="e">
        <f t="shared" ca="1" si="431"/>
        <v>#N/A</v>
      </c>
      <c r="AD907" s="323" t="e">
        <f t="shared" ca="1" si="432"/>
        <v>#N/A</v>
      </c>
      <c r="AE907" s="324" t="e">
        <f t="shared" ca="1" si="411"/>
        <v>#N/A</v>
      </c>
      <c r="AG907" s="306">
        <f t="shared" ca="1" si="433"/>
        <v>0.34099603155179459</v>
      </c>
      <c r="AH907" s="304">
        <f t="shared" ca="1" si="434"/>
        <v>-9.4537938082113104</v>
      </c>
    </row>
    <row r="908" spans="1:34" x14ac:dyDescent="0.2">
      <c r="A908" s="347">
        <f t="shared" ca="1" si="412"/>
        <v>0.1</v>
      </c>
      <c r="B908" s="304">
        <f t="shared" ca="1" si="413"/>
        <v>58.400000000000489</v>
      </c>
      <c r="D908" s="306">
        <f t="shared" ca="1" si="414"/>
        <v>-0.52422044081734709</v>
      </c>
      <c r="E908" s="307">
        <f t="shared" ca="1" si="415"/>
        <v>-0.35113921522230385</v>
      </c>
      <c r="F908" s="304">
        <f t="shared" ca="1" si="416"/>
        <v>0.63095627347516658</v>
      </c>
      <c r="G908" s="306">
        <f t="shared" ca="1" si="417"/>
        <v>9.1346221866143562</v>
      </c>
      <c r="H908" s="307">
        <f t="shared" ca="1" si="418"/>
        <v>-165.80311080897567</v>
      </c>
      <c r="I908" s="304">
        <f t="shared" ca="1" si="419"/>
        <v>166.05454789443635</v>
      </c>
      <c r="J908" s="306">
        <f t="shared" ca="1" si="420"/>
        <v>1395.505941080839</v>
      </c>
      <c r="K908" s="307">
        <f t="shared" ca="1" si="421"/>
        <v>413.39725889516575</v>
      </c>
      <c r="L908" s="304">
        <f t="shared" ca="1" si="406"/>
        <v>1455.4498016949792</v>
      </c>
      <c r="M908" s="306">
        <f t="shared" ca="1" si="422"/>
        <v>-1.5157587768128897</v>
      </c>
      <c r="N908" s="304">
        <f t="shared" ca="1" si="423"/>
        <v>-86.846580671290695</v>
      </c>
      <c r="P908" s="310">
        <f t="shared" ca="1" si="424"/>
        <v>23</v>
      </c>
      <c r="Q908" s="304">
        <f t="shared" ca="1" si="425"/>
        <v>0</v>
      </c>
      <c r="R908" s="306">
        <f t="shared" ca="1" si="426"/>
        <v>0</v>
      </c>
      <c r="S908" s="307">
        <f t="shared" ca="1" si="427"/>
        <v>5.6519999999999806</v>
      </c>
      <c r="T908" s="304">
        <f t="shared" ca="1" si="407"/>
        <v>55.446119999999816</v>
      </c>
      <c r="U908" s="311">
        <f t="shared" ca="1" si="408"/>
        <v>0</v>
      </c>
      <c r="V908" s="306">
        <f t="shared" ca="1" si="409"/>
        <v>1.1753843837726807</v>
      </c>
      <c r="W908" s="304">
        <f t="shared" ca="1" si="410"/>
        <v>53.653187641579841</v>
      </c>
      <c r="Y908" s="314" t="str">
        <f t="shared" ca="1" si="428"/>
        <v/>
      </c>
      <c r="Z908" s="315" t="str">
        <f t="shared" ca="1" si="429"/>
        <v/>
      </c>
      <c r="AA908" s="316" t="str">
        <f t="shared" ca="1" si="430"/>
        <v/>
      </c>
      <c r="AC908" s="310" t="e">
        <f t="shared" ca="1" si="431"/>
        <v>#N/A</v>
      </c>
      <c r="AD908" s="323" t="e">
        <f t="shared" ca="1" si="432"/>
        <v>#N/A</v>
      </c>
      <c r="AE908" s="324" t="e">
        <f t="shared" ca="1" si="411"/>
        <v>#N/A</v>
      </c>
      <c r="AG908" s="306">
        <f t="shared" ca="1" si="433"/>
        <v>0.3215928361221998</v>
      </c>
      <c r="AH908" s="304">
        <f t="shared" ca="1" si="434"/>
        <v>-9.4733760833388256</v>
      </c>
    </row>
    <row r="909" spans="1:34" x14ac:dyDescent="0.2">
      <c r="A909" s="347">
        <f t="shared" ca="1" si="412"/>
        <v>0.1</v>
      </c>
      <c r="B909" s="304">
        <f t="shared" ca="1" si="413"/>
        <v>58.50000000000049</v>
      </c>
      <c r="D909" s="306">
        <f t="shared" ca="1" si="414"/>
        <v>-0.52219557941132455</v>
      </c>
      <c r="E909" s="307">
        <f t="shared" ca="1" si="415"/>
        <v>-0.33159468139058923</v>
      </c>
      <c r="F909" s="304">
        <f t="shared" ca="1" si="416"/>
        <v>0.61858164851800723</v>
      </c>
      <c r="G909" s="306">
        <f t="shared" ca="1" si="417"/>
        <v>9.0824026286732238</v>
      </c>
      <c r="H909" s="307">
        <f t="shared" ca="1" si="418"/>
        <v>-165.83627027711472</v>
      </c>
      <c r="I909" s="304">
        <f t="shared" ca="1" si="419"/>
        <v>166.08479333440968</v>
      </c>
      <c r="J909" s="306">
        <f t="shared" ca="1" si="420"/>
        <v>1396.4167923216035</v>
      </c>
      <c r="K909" s="307">
        <f t="shared" ca="1" si="421"/>
        <v>396.81528984086123</v>
      </c>
      <c r="L909" s="304">
        <f t="shared" ca="1" si="406"/>
        <v>1451.703217647892</v>
      </c>
      <c r="M909" s="306">
        <f t="shared" ca="1" si="422"/>
        <v>-1.5160836986944226</v>
      </c>
      <c r="N909" s="304">
        <f t="shared" ca="1" si="423"/>
        <v>-86.86519732377397</v>
      </c>
      <c r="P909" s="310">
        <f t="shared" ca="1" si="424"/>
        <v>23</v>
      </c>
      <c r="Q909" s="304">
        <f t="shared" ca="1" si="425"/>
        <v>0</v>
      </c>
      <c r="R909" s="306">
        <f t="shared" ca="1" si="426"/>
        <v>0</v>
      </c>
      <c r="S909" s="307">
        <f t="shared" ca="1" si="427"/>
        <v>5.6519999999999806</v>
      </c>
      <c r="T909" s="304">
        <f t="shared" ca="1" si="407"/>
        <v>55.446119999999816</v>
      </c>
      <c r="U909" s="311">
        <f t="shared" ca="1" si="408"/>
        <v>0</v>
      </c>
      <c r="V909" s="306">
        <f t="shared" ca="1" si="409"/>
        <v>1.177335820749706</v>
      </c>
      <c r="W909" s="304">
        <f t="shared" ca="1" si="410"/>
        <v>53.761844763775905</v>
      </c>
      <c r="Y909" s="314" t="str">
        <f t="shared" ca="1" si="428"/>
        <v/>
      </c>
      <c r="Z909" s="315" t="str">
        <f t="shared" ca="1" si="429"/>
        <v/>
      </c>
      <c r="AA909" s="316" t="str">
        <f t="shared" ca="1" si="430"/>
        <v/>
      </c>
      <c r="AC909" s="310" t="e">
        <f t="shared" ca="1" si="431"/>
        <v>#N/A</v>
      </c>
      <c r="AD909" s="323" t="e">
        <f t="shared" ca="1" si="432"/>
        <v>#N/A</v>
      </c>
      <c r="AE909" s="324" t="e">
        <f t="shared" ca="1" si="411"/>
        <v>#N/A</v>
      </c>
      <c r="AG909" s="306">
        <f t="shared" ca="1" si="433"/>
        <v>0.30236672836414691</v>
      </c>
      <c r="AH909" s="304">
        <f t="shared" ca="1" si="434"/>
        <v>-9.492779129791229</v>
      </c>
    </row>
    <row r="910" spans="1:34" x14ac:dyDescent="0.2">
      <c r="A910" s="347">
        <f t="shared" ca="1" si="412"/>
        <v>0.1</v>
      </c>
      <c r="B910" s="304">
        <f t="shared" ca="1" si="413"/>
        <v>58.600000000000492</v>
      </c>
      <c r="D910" s="306">
        <f t="shared" ca="1" si="414"/>
        <v>-0.52016711124209514</v>
      </c>
      <c r="E910" s="307">
        <f t="shared" ca="1" si="415"/>
        <v>-0.31222973193475845</v>
      </c>
      <c r="F910" s="304">
        <f t="shared" ca="1" si="416"/>
        <v>0.60668050003440632</v>
      </c>
      <c r="G910" s="306">
        <f t="shared" ca="1" si="417"/>
        <v>9.0303859175490135</v>
      </c>
      <c r="H910" s="307">
        <f t="shared" ca="1" si="418"/>
        <v>-165.8674932503082</v>
      </c>
      <c r="I910" s="304">
        <f t="shared" ca="1" si="419"/>
        <v>166.11313369797375</v>
      </c>
      <c r="J910" s="306">
        <f t="shared" ca="1" si="420"/>
        <v>1397.3224317489146</v>
      </c>
      <c r="K910" s="307">
        <f t="shared" ca="1" si="421"/>
        <v>380.23010166449006</v>
      </c>
      <c r="L910" s="304">
        <f t="shared" ca="1" si="406"/>
        <v>1448.1315231982517</v>
      </c>
      <c r="M910" s="306">
        <f t="shared" ca="1" si="422"/>
        <v>-1.516406649166596</v>
      </c>
      <c r="N910" s="304">
        <f t="shared" ca="1" si="423"/>
        <v>-86.883701022821256</v>
      </c>
      <c r="P910" s="310">
        <f t="shared" ca="1" si="424"/>
        <v>23</v>
      </c>
      <c r="Q910" s="304">
        <f t="shared" ca="1" si="425"/>
        <v>0</v>
      </c>
      <c r="R910" s="306">
        <f t="shared" ca="1" si="426"/>
        <v>0</v>
      </c>
      <c r="S910" s="307">
        <f t="shared" ca="1" si="427"/>
        <v>5.6519999999999806</v>
      </c>
      <c r="T910" s="304">
        <f t="shared" ca="1" si="407"/>
        <v>55.446119999999816</v>
      </c>
      <c r="U910" s="311">
        <f t="shared" ca="1" si="408"/>
        <v>0</v>
      </c>
      <c r="V910" s="306">
        <f t="shared" ca="1" si="409"/>
        <v>1.1792908129873414</v>
      </c>
      <c r="W910" s="304">
        <f t="shared" ca="1" si="410"/>
        <v>53.869497152453171</v>
      </c>
      <c r="Y910" s="314" t="str">
        <f t="shared" ca="1" si="428"/>
        <v/>
      </c>
      <c r="Z910" s="315" t="str">
        <f t="shared" ca="1" si="429"/>
        <v/>
      </c>
      <c r="AA910" s="316" t="str">
        <f t="shared" ca="1" si="430"/>
        <v/>
      </c>
      <c r="AC910" s="310" t="e">
        <f t="shared" ca="1" si="431"/>
        <v>#N/A</v>
      </c>
      <c r="AD910" s="323" t="e">
        <f t="shared" ca="1" si="432"/>
        <v>#N/A</v>
      </c>
      <c r="AE910" s="324" t="e">
        <f t="shared" ca="1" si="411"/>
        <v>#N/A</v>
      </c>
      <c r="AG910" s="306">
        <f t="shared" ca="1" si="433"/>
        <v>0.28331701012774602</v>
      </c>
      <c r="AH910" s="304">
        <f t="shared" ca="1" si="434"/>
        <v>-9.5120036737041911</v>
      </c>
    </row>
    <row r="911" spans="1:34" x14ac:dyDescent="0.2">
      <c r="A911" s="347">
        <f t="shared" ca="1" si="412"/>
        <v>0.1</v>
      </c>
      <c r="B911" s="304">
        <f t="shared" ca="1" si="413"/>
        <v>58.700000000000493</v>
      </c>
      <c r="D911" s="306">
        <f t="shared" ca="1" si="414"/>
        <v>-0.51813521219871927</v>
      </c>
      <c r="E911" s="307">
        <f t="shared" ca="1" si="415"/>
        <v>-0.29304362661787842</v>
      </c>
      <c r="F911" s="304">
        <f t="shared" ca="1" si="416"/>
        <v>0.59526352586192477</v>
      </c>
      <c r="G911" s="306">
        <f t="shared" ca="1" si="417"/>
        <v>8.9785723963291417</v>
      </c>
      <c r="H911" s="307">
        <f t="shared" ca="1" si="418"/>
        <v>-165.89679761296998</v>
      </c>
      <c r="I911" s="304">
        <f t="shared" ca="1" si="419"/>
        <v>166.13958655454408</v>
      </c>
      <c r="J911" s="306">
        <f t="shared" ca="1" si="420"/>
        <v>1398.2228796646084</v>
      </c>
      <c r="K911" s="307">
        <f t="shared" ca="1" si="421"/>
        <v>363.64188712132614</v>
      </c>
      <c r="L911" s="304">
        <f t="shared" ca="1" si="406"/>
        <v>1444.736184667204</v>
      </c>
      <c r="M911" s="306">
        <f t="shared" ca="1" si="422"/>
        <v>-1.5167276441378434</v>
      </c>
      <c r="N911" s="304">
        <f t="shared" ca="1" si="423"/>
        <v>-86.902092679918667</v>
      </c>
      <c r="P911" s="310">
        <f t="shared" ca="1" si="424"/>
        <v>23</v>
      </c>
      <c r="Q911" s="304">
        <f t="shared" ca="1" si="425"/>
        <v>0</v>
      </c>
      <c r="R911" s="306">
        <f t="shared" ca="1" si="426"/>
        <v>0</v>
      </c>
      <c r="S911" s="307">
        <f t="shared" ca="1" si="427"/>
        <v>5.6519999999999806</v>
      </c>
      <c r="T911" s="304">
        <f t="shared" ca="1" si="407"/>
        <v>55.446119999999816</v>
      </c>
      <c r="U911" s="311">
        <f t="shared" ca="1" si="408"/>
        <v>0</v>
      </c>
      <c r="V911" s="306">
        <f t="shared" ca="1" si="409"/>
        <v>1.181249347322755</v>
      </c>
      <c r="W911" s="304">
        <f t="shared" ca="1" si="410"/>
        <v>53.976149027624651</v>
      </c>
      <c r="Y911" s="314" t="str">
        <f t="shared" ca="1" si="428"/>
        <v/>
      </c>
      <c r="Z911" s="315" t="str">
        <f t="shared" ca="1" si="429"/>
        <v/>
      </c>
      <c r="AA911" s="316" t="str">
        <f t="shared" ca="1" si="430"/>
        <v/>
      </c>
      <c r="AC911" s="310" t="e">
        <f t="shared" ca="1" si="431"/>
        <v>#N/A</v>
      </c>
      <c r="AD911" s="323" t="e">
        <f t="shared" ca="1" si="432"/>
        <v>#N/A</v>
      </c>
      <c r="AE911" s="324" t="e">
        <f t="shared" ca="1" si="411"/>
        <v>#N/A</v>
      </c>
      <c r="AG911" s="306">
        <f t="shared" ca="1" si="433"/>
        <v>0.26444297244027659</v>
      </c>
      <c r="AH911" s="304">
        <f t="shared" ca="1" si="434"/>
        <v>-9.5310504516017964</v>
      </c>
    </row>
    <row r="912" spans="1:34" x14ac:dyDescent="0.2">
      <c r="A912" s="347">
        <f t="shared" ca="1" si="412"/>
        <v>0.1</v>
      </c>
      <c r="B912" s="304">
        <f t="shared" ca="1" si="413"/>
        <v>58.800000000000495</v>
      </c>
      <c r="D912" s="306">
        <f t="shared" ca="1" si="414"/>
        <v>-0.51610005636809153</v>
      </c>
      <c r="E912" s="307">
        <f t="shared" ca="1" si="415"/>
        <v>-0.27403561502219453</v>
      </c>
      <c r="F912" s="304">
        <f t="shared" ca="1" si="416"/>
        <v>0.584341327037323</v>
      </c>
      <c r="G912" s="306">
        <f t="shared" ca="1" si="417"/>
        <v>8.9269623906923332</v>
      </c>
      <c r="H912" s="307">
        <f t="shared" ca="1" si="418"/>
        <v>-165.92420117447219</v>
      </c>
      <c r="I912" s="304">
        <f t="shared" ca="1" si="419"/>
        <v>166.16416940156367</v>
      </c>
      <c r="J912" s="306">
        <f t="shared" ca="1" si="420"/>
        <v>1399.1181564039596</v>
      </c>
      <c r="K912" s="307">
        <f t="shared" ca="1" si="421"/>
        <v>347.05083718195402</v>
      </c>
      <c r="L912" s="304">
        <f t="shared" ca="1" si="406"/>
        <v>1441.5186086790243</v>
      </c>
      <c r="M912" s="306">
        <f t="shared" ca="1" si="422"/>
        <v>-1.5170466993157958</v>
      </c>
      <c r="N912" s="304">
        <f t="shared" ca="1" si="423"/>
        <v>-86.920373195047134</v>
      </c>
      <c r="P912" s="310">
        <f t="shared" ca="1" si="424"/>
        <v>23</v>
      </c>
      <c r="Q912" s="304">
        <f t="shared" ca="1" si="425"/>
        <v>0</v>
      </c>
      <c r="R912" s="306">
        <f t="shared" ca="1" si="426"/>
        <v>0</v>
      </c>
      <c r="S912" s="307">
        <f t="shared" ca="1" si="427"/>
        <v>5.6519999999999806</v>
      </c>
      <c r="T912" s="304">
        <f t="shared" ca="1" si="407"/>
        <v>55.446119999999816</v>
      </c>
      <c r="U912" s="311">
        <f t="shared" ca="1" si="408"/>
        <v>0</v>
      </c>
      <c r="V912" s="306">
        <f t="shared" ca="1" si="409"/>
        <v>1.1832114106904377</v>
      </c>
      <c r="W912" s="304">
        <f t="shared" ca="1" si="410"/>
        <v>54.081804664959009</v>
      </c>
      <c r="Y912" s="314" t="str">
        <f t="shared" ca="1" si="428"/>
        <v/>
      </c>
      <c r="Z912" s="315" t="str">
        <f t="shared" ca="1" si="429"/>
        <v/>
      </c>
      <c r="AA912" s="316" t="str">
        <f t="shared" ca="1" si="430"/>
        <v/>
      </c>
      <c r="AC912" s="310" t="e">
        <f t="shared" ca="1" si="431"/>
        <v>#N/A</v>
      </c>
      <c r="AD912" s="323" t="e">
        <f t="shared" ca="1" si="432"/>
        <v>#N/A</v>
      </c>
      <c r="AE912" s="324" t="e">
        <f t="shared" ca="1" si="411"/>
        <v>#N/A</v>
      </c>
      <c r="AG912" s="306">
        <f t="shared" ca="1" si="433"/>
        <v>0.24574389578626032</v>
      </c>
      <c r="AH912" s="304">
        <f t="shared" ca="1" si="434"/>
        <v>-9.5499202101247054</v>
      </c>
    </row>
    <row r="913" spans="1:34" x14ac:dyDescent="0.2">
      <c r="A913" s="347">
        <f t="shared" ca="1" si="412"/>
        <v>0.1</v>
      </c>
      <c r="B913" s="304">
        <f t="shared" ca="1" si="413"/>
        <v>58.900000000000496</v>
      </c>
      <c r="D913" s="306">
        <f t="shared" ca="1" si="414"/>
        <v>-0.51406181603423751</v>
      </c>
      <c r="E913" s="307">
        <f t="shared" ca="1" si="415"/>
        <v>-0.25520493682014411</v>
      </c>
      <c r="F913" s="304">
        <f t="shared" ca="1" si="416"/>
        <v>0.57392430727561272</v>
      </c>
      <c r="G913" s="306">
        <f t="shared" ca="1" si="417"/>
        <v>8.8755562090889093</v>
      </c>
      <c r="H913" s="307">
        <f t="shared" ca="1" si="418"/>
        <v>-165.94972166815421</v>
      </c>
      <c r="I913" s="304">
        <f t="shared" ca="1" si="419"/>
        <v>166.18689966347691</v>
      </c>
      <c r="J913" s="306">
        <f t="shared" ca="1" si="420"/>
        <v>1400.0082823339487</v>
      </c>
      <c r="K913" s="307">
        <f t="shared" ca="1" si="421"/>
        <v>330.45714103982272</v>
      </c>
      <c r="L913" s="304">
        <f t="shared" ca="1" si="406"/>
        <v>1438.4801398239279</v>
      </c>
      <c r="M913" s="306">
        <f t="shared" ca="1" si="422"/>
        <v>-1.5173638302105885</v>
      </c>
      <c r="N913" s="304">
        <f t="shared" ca="1" si="423"/>
        <v>-86.938543456871955</v>
      </c>
      <c r="P913" s="310">
        <f t="shared" ca="1" si="424"/>
        <v>23</v>
      </c>
      <c r="Q913" s="304">
        <f t="shared" ca="1" si="425"/>
        <v>0</v>
      </c>
      <c r="R913" s="306">
        <f t="shared" ca="1" si="426"/>
        <v>0</v>
      </c>
      <c r="S913" s="307">
        <f t="shared" ca="1" si="427"/>
        <v>5.6519999999999806</v>
      </c>
      <c r="T913" s="304">
        <f t="shared" ca="1" si="407"/>
        <v>55.446119999999816</v>
      </c>
      <c r="U913" s="311">
        <f t="shared" ca="1" si="408"/>
        <v>0</v>
      </c>
      <c r="V913" s="306">
        <f t="shared" ca="1" si="409"/>
        <v>1.1851769901222122</v>
      </c>
      <c r="W913" s="304">
        <f t="shared" ca="1" si="410"/>
        <v>54.186468394270435</v>
      </c>
      <c r="Y913" s="314" t="str">
        <f t="shared" ca="1" si="428"/>
        <v/>
      </c>
      <c r="Z913" s="315" t="str">
        <f t="shared" ca="1" si="429"/>
        <v/>
      </c>
      <c r="AA913" s="316" t="str">
        <f t="shared" ca="1" si="430"/>
        <v/>
      </c>
      <c r="AC913" s="310" t="e">
        <f t="shared" ca="1" si="431"/>
        <v>#N/A</v>
      </c>
      <c r="AD913" s="323" t="e">
        <f t="shared" ca="1" si="432"/>
        <v>#N/A</v>
      </c>
      <c r="AE913" s="324" t="e">
        <f t="shared" ca="1" si="411"/>
        <v>#N/A</v>
      </c>
      <c r="AG913" s="306">
        <f t="shared" ca="1" si="433"/>
        <v>0.22721905038499912</v>
      </c>
      <c r="AH913" s="304">
        <f t="shared" ca="1" si="434"/>
        <v>-9.5686137057606508</v>
      </c>
    </row>
    <row r="914" spans="1:34" x14ac:dyDescent="0.2">
      <c r="A914" s="347">
        <f t="shared" ca="1" si="412"/>
        <v>0.1</v>
      </c>
      <c r="B914" s="304">
        <f t="shared" ca="1" si="413"/>
        <v>59.000000000000497</v>
      </c>
      <c r="D914" s="306">
        <f t="shared" ca="1" si="414"/>
        <v>-0.5120206616780304</v>
      </c>
      <c r="E914" s="307">
        <f t="shared" ca="1" si="415"/>
        <v>-0.23655082204302502</v>
      </c>
      <c r="F914" s="304">
        <f t="shared" ca="1" si="416"/>
        <v>0.56402256106865001</v>
      </c>
      <c r="G914" s="306">
        <f t="shared" ca="1" si="417"/>
        <v>8.8243541429211056</v>
      </c>
      <c r="H914" s="307">
        <f t="shared" ca="1" si="418"/>
        <v>-165.97337675035851</v>
      </c>
      <c r="I914" s="304">
        <f t="shared" ca="1" si="419"/>
        <v>166.20779469073085</v>
      </c>
      <c r="J914" s="306">
        <f t="shared" ca="1" si="420"/>
        <v>1400.8932778515493</v>
      </c>
      <c r="K914" s="307">
        <f t="shared" ca="1" si="421"/>
        <v>313.86098611889707</v>
      </c>
      <c r="L914" s="304">
        <f t="shared" ca="1" si="406"/>
        <v>1435.6220583904333</v>
      </c>
      <c r="M914" s="306">
        <f t="shared" ca="1" si="422"/>
        <v>-1.5176790521381109</v>
      </c>
      <c r="N914" s="304">
        <f t="shared" ca="1" si="423"/>
        <v>-86.956604342928969</v>
      </c>
      <c r="P914" s="310">
        <f t="shared" ca="1" si="424"/>
        <v>23</v>
      </c>
      <c r="Q914" s="304">
        <f t="shared" ca="1" si="425"/>
        <v>0</v>
      </c>
      <c r="R914" s="306">
        <f t="shared" ca="1" si="426"/>
        <v>0</v>
      </c>
      <c r="S914" s="307">
        <f t="shared" ca="1" si="427"/>
        <v>5.6519999999999806</v>
      </c>
      <c r="T914" s="304">
        <f t="shared" ca="1" si="407"/>
        <v>55.446119999999816</v>
      </c>
      <c r="U914" s="311">
        <f t="shared" ca="1" si="408"/>
        <v>0</v>
      </c>
      <c r="V914" s="306">
        <f t="shared" ca="1" si="409"/>
        <v>1.1871460727472367</v>
      </c>
      <c r="W914" s="304">
        <f t="shared" ca="1" si="410"/>
        <v>54.290144598021733</v>
      </c>
      <c r="Y914" s="314" t="str">
        <f t="shared" ca="1" si="428"/>
        <v/>
      </c>
      <c r="Z914" s="315" t="str">
        <f t="shared" ca="1" si="429"/>
        <v/>
      </c>
      <c r="AA914" s="316" t="str">
        <f t="shared" ca="1" si="430"/>
        <v/>
      </c>
      <c r="AC914" s="310">
        <f t="shared" ca="1" si="431"/>
        <v>59.000000000000497</v>
      </c>
      <c r="AD914" s="323">
        <f t="shared" ca="1" si="432"/>
        <v>1400.8932778515493</v>
      </c>
      <c r="AE914" s="324" t="e">
        <f t="shared" ca="1" si="411"/>
        <v>#N/A</v>
      </c>
      <c r="AG914" s="306">
        <f t="shared" ca="1" si="433"/>
        <v>0.20886769646562797</v>
      </c>
      <c r="AH914" s="304">
        <f t="shared" ca="1" si="434"/>
        <v>-9.5871317045772511</v>
      </c>
    </row>
    <row r="915" spans="1:34" x14ac:dyDescent="0.2">
      <c r="A915" s="347">
        <f t="shared" ca="1" si="412"/>
        <v>0.1</v>
      </c>
      <c r="B915" s="304">
        <f t="shared" ca="1" si="413"/>
        <v>59.100000000000499</v>
      </c>
      <c r="D915" s="306">
        <f t="shared" ca="1" si="414"/>
        <v>-0.50997676197725095</v>
      </c>
      <c r="E915" s="307">
        <f t="shared" ca="1" si="415"/>
        <v>-0.21807249134730711</v>
      </c>
      <c r="F915" s="304">
        <f t="shared" ca="1" si="416"/>
        <v>0.55464575112338421</v>
      </c>
      <c r="G915" s="306">
        <f t="shared" ca="1" si="417"/>
        <v>8.7733564667233814</v>
      </c>
      <c r="H915" s="307">
        <f t="shared" ca="1" si="418"/>
        <v>-165.99518399949324</v>
      </c>
      <c r="I915" s="304">
        <f t="shared" ca="1" si="419"/>
        <v>166.22687175880381</v>
      </c>
      <c r="J915" s="306">
        <f t="shared" ca="1" si="420"/>
        <v>1401.7731633820315</v>
      </c>
      <c r="K915" s="307">
        <f t="shared" ca="1" si="421"/>
        <v>297.26255808140451</v>
      </c>
      <c r="L915" s="304">
        <f t="shared" ca="1" si="406"/>
        <v>1432.945578176355</v>
      </c>
      <c r="M915" s="306">
        <f t="shared" ca="1" si="422"/>
        <v>-1.5179923802231907</v>
      </c>
      <c r="N915" s="304">
        <f t="shared" ca="1" si="423"/>
        <v>-86.974556719806969</v>
      </c>
      <c r="P915" s="310">
        <f t="shared" ca="1" si="424"/>
        <v>23</v>
      </c>
      <c r="Q915" s="304">
        <f t="shared" ca="1" si="425"/>
        <v>0</v>
      </c>
      <c r="R915" s="306">
        <f t="shared" ca="1" si="426"/>
        <v>0</v>
      </c>
      <c r="S915" s="307">
        <f t="shared" ca="1" si="427"/>
        <v>5.6519999999999806</v>
      </c>
      <c r="T915" s="304">
        <f t="shared" ca="1" si="407"/>
        <v>55.446119999999816</v>
      </c>
      <c r="U915" s="311">
        <f t="shared" ca="1" si="408"/>
        <v>0</v>
      </c>
      <c r="V915" s="306">
        <f t="shared" ca="1" si="409"/>
        <v>1.1891186457919927</v>
      </c>
      <c r="W915" s="304">
        <f t="shared" ca="1" si="410"/>
        <v>54.392837709840691</v>
      </c>
      <c r="Y915" s="314" t="str">
        <f t="shared" ca="1" si="428"/>
        <v/>
      </c>
      <c r="Z915" s="315" t="str">
        <f t="shared" ca="1" si="429"/>
        <v/>
      </c>
      <c r="AA915" s="316" t="str">
        <f t="shared" ca="1" si="430"/>
        <v/>
      </c>
      <c r="AC915" s="310" t="e">
        <f t="shared" ca="1" si="431"/>
        <v>#N/A</v>
      </c>
      <c r="AD915" s="323" t="e">
        <f t="shared" ca="1" si="432"/>
        <v>#N/A</v>
      </c>
      <c r="AE915" s="324" t="e">
        <f t="shared" ca="1" si="411"/>
        <v>#N/A</v>
      </c>
      <c r="AG915" s="306">
        <f t="shared" ca="1" si="433"/>
        <v>0.19068908453964362</v>
      </c>
      <c r="AH915" s="304">
        <f t="shared" ca="1" si="434"/>
        <v>-9.605474981957169</v>
      </c>
    </row>
    <row r="916" spans="1:34" x14ac:dyDescent="0.2">
      <c r="A916" s="347">
        <f t="shared" ca="1" si="412"/>
        <v>0.1</v>
      </c>
      <c r="B916" s="304">
        <f t="shared" ca="1" si="413"/>
        <v>59.2000000000005</v>
      </c>
      <c r="D916" s="306">
        <f t="shared" ca="1" si="414"/>
        <v>-0.50793028380705929</v>
      </c>
      <c r="E916" s="307">
        <f t="shared" ca="1" si="415"/>
        <v>-0.19976915627860059</v>
      </c>
      <c r="F916" s="304">
        <f t="shared" ca="1" si="416"/>
        <v>0.54580297636471686</v>
      </c>
      <c r="G916" s="306">
        <f t="shared" ca="1" si="417"/>
        <v>8.7225634383426751</v>
      </c>
      <c r="H916" s="307">
        <f t="shared" ca="1" si="418"/>
        <v>-166.0151609151211</v>
      </c>
      <c r="I916" s="304">
        <f t="shared" ca="1" si="419"/>
        <v>166.24414806726119</v>
      </c>
      <c r="J916" s="306">
        <f t="shared" ca="1" si="420"/>
        <v>1402.6479593772849</v>
      </c>
      <c r="K916" s="307">
        <f t="shared" ca="1" si="421"/>
        <v>280.66204083567379</v>
      </c>
      <c r="L916" s="304">
        <f t="shared" ca="1" si="406"/>
        <v>1430.4518443873974</v>
      </c>
      <c r="M916" s="306">
        <f t="shared" ca="1" si="422"/>
        <v>-1.518303829402722</v>
      </c>
      <c r="N916" s="304">
        <f t="shared" ca="1" si="423"/>
        <v>-86.992401443326912</v>
      </c>
      <c r="P916" s="310">
        <f t="shared" ca="1" si="424"/>
        <v>23</v>
      </c>
      <c r="Q916" s="304">
        <f t="shared" ca="1" si="425"/>
        <v>0</v>
      </c>
      <c r="R916" s="306">
        <f t="shared" ca="1" si="426"/>
        <v>0</v>
      </c>
      <c r="S916" s="307">
        <f t="shared" ca="1" si="427"/>
        <v>5.6519999999999806</v>
      </c>
      <c r="T916" s="304">
        <f t="shared" ca="1" si="407"/>
        <v>55.446119999999816</v>
      </c>
      <c r="U916" s="311">
        <f t="shared" ca="1" si="408"/>
        <v>0</v>
      </c>
      <c r="V916" s="306">
        <f t="shared" ca="1" si="409"/>
        <v>1.1910946965802769</v>
      </c>
      <c r="W916" s="304">
        <f t="shared" ca="1" si="410"/>
        <v>54.494552213050916</v>
      </c>
      <c r="Y916" s="314" t="str">
        <f t="shared" ca="1" si="428"/>
        <v/>
      </c>
      <c r="Z916" s="315" t="str">
        <f t="shared" ca="1" si="429"/>
        <v/>
      </c>
      <c r="AA916" s="316" t="str">
        <f t="shared" ca="1" si="430"/>
        <v/>
      </c>
      <c r="AC916" s="310" t="e">
        <f t="shared" ca="1" si="431"/>
        <v>#N/A</v>
      </c>
      <c r="AD916" s="323" t="e">
        <f t="shared" ca="1" si="432"/>
        <v>#N/A</v>
      </c>
      <c r="AE916" s="324" t="e">
        <f t="shared" ca="1" si="411"/>
        <v>#N/A</v>
      </c>
      <c r="AG916" s="306">
        <f t="shared" ca="1" si="433"/>
        <v>0.17268245567092677</v>
      </c>
      <c r="AH916" s="304">
        <f t="shared" ca="1" si="434"/>
        <v>-9.6236443223356112</v>
      </c>
    </row>
    <row r="917" spans="1:34" x14ac:dyDescent="0.2">
      <c r="A917" s="347">
        <f t="shared" ca="1" si="412"/>
        <v>0.1</v>
      </c>
      <c r="B917" s="304">
        <f t="shared" ca="1" si="413"/>
        <v>59.300000000000502</v>
      </c>
      <c r="D917" s="306">
        <f t="shared" ca="1" si="414"/>
        <v>-0.50588139224080575</v>
      </c>
      <c r="E917" s="307">
        <f t="shared" ca="1" si="415"/>
        <v>-0.18164001953304165</v>
      </c>
      <c r="F917" s="304">
        <f t="shared" ca="1" si="416"/>
        <v>0.53750263228328443</v>
      </c>
      <c r="G917" s="306">
        <f t="shared" ca="1" si="417"/>
        <v>8.6719752991185945</v>
      </c>
      <c r="H917" s="307">
        <f t="shared" ca="1" si="418"/>
        <v>-166.0333249170744</v>
      </c>
      <c r="I917" s="304">
        <f t="shared" ca="1" si="419"/>
        <v>166.2596407388375</v>
      </c>
      <c r="J917" s="306">
        <f t="shared" ca="1" si="420"/>
        <v>1403.517686314158</v>
      </c>
      <c r="K917" s="307">
        <f t="shared" ca="1" si="421"/>
        <v>264.059616544064</v>
      </c>
      <c r="L917" s="304">
        <f t="shared" ca="1" si="406"/>
        <v>1428.1419316321628</v>
      </c>
      <c r="M917" s="306">
        <f t="shared" ca="1" si="422"/>
        <v>-1.5186134144287322</v>
      </c>
      <c r="N917" s="304">
        <f t="shared" ca="1" si="423"/>
        <v>-87.010139358717751</v>
      </c>
      <c r="P917" s="310">
        <f t="shared" ca="1" si="424"/>
        <v>23</v>
      </c>
      <c r="Q917" s="304">
        <f t="shared" ca="1" si="425"/>
        <v>0</v>
      </c>
      <c r="R917" s="306">
        <f t="shared" ca="1" si="426"/>
        <v>0</v>
      </c>
      <c r="S917" s="307">
        <f t="shared" ca="1" si="427"/>
        <v>5.6519999999999806</v>
      </c>
      <c r="T917" s="304">
        <f t="shared" ca="1" si="407"/>
        <v>55.446119999999816</v>
      </c>
      <c r="U917" s="311">
        <f t="shared" ca="1" si="408"/>
        <v>0</v>
      </c>
      <c r="V917" s="306">
        <f t="shared" ca="1" si="409"/>
        <v>1.1930742125331699</v>
      </c>
      <c r="W917" s="304">
        <f t="shared" ca="1" si="410"/>
        <v>54.595292639215295</v>
      </c>
      <c r="Y917" s="314" t="str">
        <f t="shared" ca="1" si="428"/>
        <v/>
      </c>
      <c r="Z917" s="315" t="str">
        <f t="shared" ca="1" si="429"/>
        <v/>
      </c>
      <c r="AA917" s="316" t="str">
        <f t="shared" ca="1" si="430"/>
        <v/>
      </c>
      <c r="AC917" s="310" t="e">
        <f t="shared" ca="1" si="431"/>
        <v>#N/A</v>
      </c>
      <c r="AD917" s="323" t="e">
        <f t="shared" ca="1" si="432"/>
        <v>#N/A</v>
      </c>
      <c r="AE917" s="324" t="e">
        <f t="shared" ca="1" si="411"/>
        <v>#N/A</v>
      </c>
      <c r="AG917" s="306">
        <f t="shared" ca="1" si="433"/>
        <v>0.1548470417430341</v>
      </c>
      <c r="AH917" s="304">
        <f t="shared" ca="1" si="434"/>
        <v>-9.6416405189403935</v>
      </c>
    </row>
    <row r="918" spans="1:34" x14ac:dyDescent="0.2">
      <c r="A918" s="347">
        <f t="shared" ca="1" si="412"/>
        <v>0.1</v>
      </c>
      <c r="B918" s="304">
        <f t="shared" ca="1" si="413"/>
        <v>59.400000000000503</v>
      </c>
      <c r="D918" s="306">
        <f t="shared" ca="1" si="414"/>
        <v>-0.50383025055122299</v>
      </c>
      <c r="E918" s="307">
        <f t="shared" ca="1" si="415"/>
        <v>-0.1636842752164398</v>
      </c>
      <c r="F918" s="304">
        <f t="shared" ca="1" si="416"/>
        <v>0.52975226599198166</v>
      </c>
      <c r="G918" s="306">
        <f t="shared" ca="1" si="417"/>
        <v>8.6215922740634721</v>
      </c>
      <c r="H918" s="307">
        <f t="shared" ca="1" si="418"/>
        <v>-166.04969334459605</v>
      </c>
      <c r="I918" s="304">
        <f t="shared" ca="1" si="419"/>
        <v>166.27336681854547</v>
      </c>
      <c r="J918" s="306">
        <f t="shared" ca="1" si="420"/>
        <v>1404.3823646928172</v>
      </c>
      <c r="K918" s="307">
        <f t="shared" ca="1" si="421"/>
        <v>247.45546563098048</v>
      </c>
      <c r="L918" s="304">
        <f t="shared" ca="1" si="406"/>
        <v>1426.0168420221532</v>
      </c>
      <c r="M918" s="306">
        <f t="shared" ca="1" si="422"/>
        <v>-1.518921149871393</v>
      </c>
      <c r="N918" s="304">
        <f t="shared" ca="1" si="423"/>
        <v>-87.0277713007888</v>
      </c>
      <c r="P918" s="310">
        <f t="shared" ca="1" si="424"/>
        <v>23</v>
      </c>
      <c r="Q918" s="304">
        <f t="shared" ca="1" si="425"/>
        <v>0</v>
      </c>
      <c r="R918" s="306">
        <f t="shared" ca="1" si="426"/>
        <v>0</v>
      </c>
      <c r="S918" s="307">
        <f t="shared" ca="1" si="427"/>
        <v>5.6519999999999806</v>
      </c>
      <c r="T918" s="304">
        <f t="shared" ca="1" si="407"/>
        <v>55.446119999999816</v>
      </c>
      <c r="U918" s="311">
        <f t="shared" ca="1" si="408"/>
        <v>0</v>
      </c>
      <c r="V918" s="306">
        <f t="shared" ca="1" si="409"/>
        <v>1.1950571811690114</v>
      </c>
      <c r="W918" s="304">
        <f t="shared" ca="1" si="410"/>
        <v>54.695063566694678</v>
      </c>
      <c r="Y918" s="314" t="str">
        <f t="shared" ca="1" si="428"/>
        <v/>
      </c>
      <c r="Z918" s="315" t="str">
        <f t="shared" ca="1" si="429"/>
        <v/>
      </c>
      <c r="AA918" s="316" t="str">
        <f t="shared" ca="1" si="430"/>
        <v/>
      </c>
      <c r="AC918" s="310" t="e">
        <f t="shared" ca="1" si="431"/>
        <v>#N/A</v>
      </c>
      <c r="AD918" s="323" t="e">
        <f t="shared" ca="1" si="432"/>
        <v>#N/A</v>
      </c>
      <c r="AE918" s="324" t="e">
        <f t="shared" ca="1" si="411"/>
        <v>#N/A</v>
      </c>
      <c r="AG918" s="306">
        <f t="shared" ca="1" si="433"/>
        <v>0.13718206572408675</v>
      </c>
      <c r="AH918" s="304">
        <f t="shared" ca="1" si="434"/>
        <v>-9.6594643735342327</v>
      </c>
    </row>
    <row r="919" spans="1:34" x14ac:dyDescent="0.2">
      <c r="A919" s="347">
        <f t="shared" ca="1" si="412"/>
        <v>0.1</v>
      </c>
      <c r="B919" s="304">
        <f t="shared" ca="1" si="413"/>
        <v>59.500000000000504</v>
      </c>
      <c r="D919" s="306">
        <f t="shared" ca="1" si="414"/>
        <v>-0.50177702021196902</v>
      </c>
      <c r="E919" s="307">
        <f t="shared" ca="1" si="415"/>
        <v>-0.14590110910071274</v>
      </c>
      <c r="F919" s="304">
        <f t="shared" ca="1" si="416"/>
        <v>0.52255842893366555</v>
      </c>
      <c r="G919" s="306">
        <f t="shared" ca="1" si="417"/>
        <v>8.5714145720422756</v>
      </c>
      <c r="H919" s="307">
        <f t="shared" ca="1" si="418"/>
        <v>-166.06428345550611</v>
      </c>
      <c r="I919" s="304">
        <f t="shared" ca="1" si="419"/>
        <v>166.28534327281074</v>
      </c>
      <c r="J919" s="306">
        <f t="shared" ca="1" si="420"/>
        <v>1405.2420150351224</v>
      </c>
      <c r="K919" s="307">
        <f t="shared" ca="1" si="421"/>
        <v>230.84976679097537</v>
      </c>
      <c r="L919" s="304">
        <f t="shared" ca="1" si="406"/>
        <v>1424.0775033850578</v>
      </c>
      <c r="M919" s="306">
        <f t="shared" ca="1" si="422"/>
        <v>-1.5192270501219756</v>
      </c>
      <c r="N919" s="304">
        <f t="shared" ca="1" si="423"/>
        <v>-87.045298094099181</v>
      </c>
      <c r="P919" s="310">
        <f t="shared" ca="1" si="424"/>
        <v>23</v>
      </c>
      <c r="Q919" s="304">
        <f t="shared" ca="1" si="425"/>
        <v>0</v>
      </c>
      <c r="R919" s="306">
        <f t="shared" ca="1" si="426"/>
        <v>0</v>
      </c>
      <c r="S919" s="307">
        <f t="shared" ca="1" si="427"/>
        <v>5.6519999999999806</v>
      </c>
      <c r="T919" s="304">
        <f t="shared" ca="1" si="407"/>
        <v>55.446119999999816</v>
      </c>
      <c r="U919" s="311">
        <f t="shared" ca="1" si="408"/>
        <v>0</v>
      </c>
      <c r="V919" s="306">
        <f t="shared" ca="1" si="409"/>
        <v>1.1970435901033532</v>
      </c>
      <c r="W919" s="304">
        <f t="shared" ca="1" si="410"/>
        <v>54.793869619219528</v>
      </c>
      <c r="Y919" s="314" t="str">
        <f t="shared" ca="1" si="428"/>
        <v/>
      </c>
      <c r="Z919" s="315" t="str">
        <f t="shared" ca="1" si="429"/>
        <v/>
      </c>
      <c r="AA919" s="316" t="str">
        <f t="shared" ca="1" si="430"/>
        <v/>
      </c>
      <c r="AC919" s="310" t="e">
        <f t="shared" ca="1" si="431"/>
        <v>#N/A</v>
      </c>
      <c r="AD919" s="323" t="e">
        <f t="shared" ca="1" si="432"/>
        <v>#N/A</v>
      </c>
      <c r="AE919" s="324" t="e">
        <f t="shared" ca="1" si="411"/>
        <v>#N/A</v>
      </c>
      <c r="AG919" s="306">
        <f t="shared" ca="1" si="433"/>
        <v>0.11968674192882389</v>
      </c>
      <c r="AH919" s="304">
        <f t="shared" ca="1" si="434"/>
        <v>-9.677116696159743</v>
      </c>
    </row>
    <row r="920" spans="1:34" x14ac:dyDescent="0.2">
      <c r="A920" s="347">
        <f t="shared" ca="1" si="412"/>
        <v>0.1</v>
      </c>
      <c r="B920" s="304">
        <f t="shared" ca="1" si="413"/>
        <v>59.600000000000506</v>
      </c>
      <c r="D920" s="306">
        <f t="shared" ca="1" si="414"/>
        <v>-0.49972186089950776</v>
      </c>
      <c r="E920" s="307">
        <f t="shared" ca="1" si="415"/>
        <v>-0.12828969887801733</v>
      </c>
      <c r="F920" s="304">
        <f t="shared" ca="1" si="416"/>
        <v>0.51592653071835659</v>
      </c>
      <c r="G920" s="306">
        <f t="shared" ca="1" si="417"/>
        <v>8.5214423859523247</v>
      </c>
      <c r="H920" s="307">
        <f t="shared" ca="1" si="418"/>
        <v>-166.07711242539392</v>
      </c>
      <c r="I920" s="304">
        <f t="shared" ca="1" si="419"/>
        <v>166.29558698863309</v>
      </c>
      <c r="J920" s="306">
        <f t="shared" ca="1" si="420"/>
        <v>1406.0966578830221</v>
      </c>
      <c r="K920" s="307">
        <f t="shared" ca="1" si="421"/>
        <v>214.24269699693036</v>
      </c>
      <c r="L920" s="304">
        <f t="shared" ca="1" si="406"/>
        <v>1422.324767599272</v>
      </c>
      <c r="M920" s="306">
        <f t="shared" ca="1" si="422"/>
        <v>-1.5195311293957503</v>
      </c>
      <c r="N920" s="304">
        <f t="shared" ca="1" si="423"/>
        <v>-87.062720553123881</v>
      </c>
      <c r="P920" s="310">
        <f t="shared" ca="1" si="424"/>
        <v>23</v>
      </c>
      <c r="Q920" s="304">
        <f t="shared" ca="1" si="425"/>
        <v>0</v>
      </c>
      <c r="R920" s="306">
        <f t="shared" ca="1" si="426"/>
        <v>0</v>
      </c>
      <c r="S920" s="307">
        <f t="shared" ca="1" si="427"/>
        <v>5.6519999999999806</v>
      </c>
      <c r="T920" s="304">
        <f t="shared" ca="1" si="407"/>
        <v>55.446119999999816</v>
      </c>
      <c r="U920" s="311">
        <f t="shared" ca="1" si="408"/>
        <v>0</v>
      </c>
      <c r="V920" s="306">
        <f t="shared" ca="1" si="409"/>
        <v>1.1990334270489165</v>
      </c>
      <c r="W920" s="304">
        <f t="shared" ca="1" si="410"/>
        <v>54.891715464476796</v>
      </c>
      <c r="Y920" s="314" t="str">
        <f t="shared" ca="1" si="428"/>
        <v/>
      </c>
      <c r="Z920" s="315" t="str">
        <f t="shared" ca="1" si="429"/>
        <v/>
      </c>
      <c r="AA920" s="316" t="str">
        <f t="shared" ca="1" si="430"/>
        <v/>
      </c>
      <c r="AC920" s="310" t="e">
        <f t="shared" ca="1" si="431"/>
        <v>#N/A</v>
      </c>
      <c r="AD920" s="323" t="e">
        <f t="shared" ca="1" si="432"/>
        <v>#N/A</v>
      </c>
      <c r="AE920" s="324" t="e">
        <f t="shared" ca="1" si="411"/>
        <v>#N/A</v>
      </c>
      <c r="AG920" s="306">
        <f t="shared" ca="1" si="433"/>
        <v>0.10236027627819055</v>
      </c>
      <c r="AH920" s="304">
        <f t="shared" ca="1" si="434"/>
        <v>-9.6945983048867159</v>
      </c>
    </row>
    <row r="921" spans="1:34" x14ac:dyDescent="0.2">
      <c r="A921" s="347">
        <f t="shared" ca="1" si="412"/>
        <v>0.1</v>
      </c>
      <c r="B921" s="304">
        <f t="shared" ca="1" si="413"/>
        <v>59.700000000000507</v>
      </c>
      <c r="D921" s="306">
        <f t="shared" ca="1" si="414"/>
        <v>-0.497664930495341</v>
      </c>
      <c r="E921" s="307">
        <f t="shared" ca="1" si="415"/>
        <v>-0.11084921441218754</v>
      </c>
      <c r="F921" s="304">
        <f t="shared" ca="1" si="416"/>
        <v>0.50986069801538114</v>
      </c>
      <c r="G921" s="306">
        <f t="shared" ca="1" si="417"/>
        <v>8.4716758929027911</v>
      </c>
      <c r="H921" s="307">
        <f t="shared" ca="1" si="418"/>
        <v>-166.08819734683513</v>
      </c>
      <c r="I921" s="304">
        <f t="shared" ca="1" si="419"/>
        <v>166.30411477277295</v>
      </c>
      <c r="J921" s="306">
        <f t="shared" ca="1" si="420"/>
        <v>1406.9463137969649</v>
      </c>
      <c r="K921" s="307">
        <f t="shared" ca="1" si="421"/>
        <v>197.6344315083189</v>
      </c>
      <c r="L921" s="304">
        <f t="shared" ca="1" si="406"/>
        <v>1420.7594090571718</v>
      </c>
      <c r="M921" s="306">
        <f t="shared" ca="1" si="422"/>
        <v>-1.5198334017348325</v>
      </c>
      <c r="N921" s="304">
        <f t="shared" ca="1" si="423"/>
        <v>-87.080039482416836</v>
      </c>
      <c r="P921" s="310">
        <f t="shared" ca="1" si="424"/>
        <v>23</v>
      </c>
      <c r="Q921" s="304">
        <f t="shared" ca="1" si="425"/>
        <v>0</v>
      </c>
      <c r="R921" s="306">
        <f t="shared" ca="1" si="426"/>
        <v>0</v>
      </c>
      <c r="S921" s="307">
        <f t="shared" ca="1" si="427"/>
        <v>5.6519999999999806</v>
      </c>
      <c r="T921" s="304">
        <f t="shared" ca="1" si="407"/>
        <v>55.446119999999816</v>
      </c>
      <c r="U921" s="311">
        <f t="shared" ca="1" si="408"/>
        <v>0</v>
      </c>
      <c r="V921" s="306">
        <f t="shared" ca="1" si="409"/>
        <v>1.2010266798155322</v>
      </c>
      <c r="W921" s="304">
        <f t="shared" ca="1" si="410"/>
        <v>54.988605812710475</v>
      </c>
      <c r="Y921" s="314" t="str">
        <f t="shared" ca="1" si="428"/>
        <v/>
      </c>
      <c r="Z921" s="315" t="str">
        <f t="shared" ca="1" si="429"/>
        <v/>
      </c>
      <c r="AA921" s="316" t="str">
        <f t="shared" ca="1" si="430"/>
        <v/>
      </c>
      <c r="AC921" s="310" t="e">
        <f t="shared" ca="1" si="431"/>
        <v>#N/A</v>
      </c>
      <c r="AD921" s="323" t="e">
        <f t="shared" ca="1" si="432"/>
        <v>#N/A</v>
      </c>
      <c r="AE921" s="324" t="e">
        <f t="shared" ca="1" si="411"/>
        <v>#N/A</v>
      </c>
      <c r="AG921" s="306">
        <f t="shared" ca="1" si="433"/>
        <v>8.5201866556104733E-2</v>
      </c>
      <c r="AH921" s="304">
        <f t="shared" ca="1" si="434"/>
        <v>-9.7119100255620996</v>
      </c>
    </row>
    <row r="922" spans="1:34" x14ac:dyDescent="0.2">
      <c r="A922" s="347">
        <f t="shared" ca="1" si="412"/>
        <v>0.1</v>
      </c>
      <c r="B922" s="304">
        <f t="shared" ca="1" si="413"/>
        <v>59.800000000000509</v>
      </c>
      <c r="D922" s="306">
        <f t="shared" ca="1" si="414"/>
        <v>-0.49560638508857807</v>
      </c>
      <c r="E922" s="307">
        <f t="shared" ca="1" si="415"/>
        <v>-9.3578817987719276E-2</v>
      </c>
      <c r="F922" s="304">
        <f t="shared" ca="1" si="416"/>
        <v>0.50436364273859657</v>
      </c>
      <c r="G922" s="306">
        <f t="shared" ca="1" si="417"/>
        <v>8.4221152543939333</v>
      </c>
      <c r="H922" s="307">
        <f t="shared" ca="1" si="418"/>
        <v>-166.09755522863389</v>
      </c>
      <c r="I922" s="304">
        <f t="shared" ca="1" si="419"/>
        <v>166.31094335096347</v>
      </c>
      <c r="J922" s="306">
        <f t="shared" ca="1" si="420"/>
        <v>1407.7910033543296</v>
      </c>
      <c r="K922" s="307">
        <f t="shared" ca="1" si="421"/>
        <v>181.02514387954545</v>
      </c>
      <c r="L922" s="304">
        <f t="shared" ca="1" si="406"/>
        <v>1419.382123264204</v>
      </c>
      <c r="M922" s="306">
        <f t="shared" ca="1" si="422"/>
        <v>-1.5201338810109772</v>
      </c>
      <c r="N922" s="304">
        <f t="shared" ca="1" si="423"/>
        <v>-87.09725567677107</v>
      </c>
      <c r="P922" s="310">
        <f t="shared" ca="1" si="424"/>
        <v>23</v>
      </c>
      <c r="Q922" s="304">
        <f t="shared" ca="1" si="425"/>
        <v>0</v>
      </c>
      <c r="R922" s="306">
        <f t="shared" ca="1" si="426"/>
        <v>0</v>
      </c>
      <c r="S922" s="307">
        <f t="shared" ca="1" si="427"/>
        <v>5.6519999999999806</v>
      </c>
      <c r="T922" s="304">
        <f t="shared" ca="1" si="407"/>
        <v>55.446119999999816</v>
      </c>
      <c r="U922" s="311">
        <f t="shared" ca="1" si="408"/>
        <v>0</v>
      </c>
      <c r="V922" s="306">
        <f t="shared" ca="1" si="409"/>
        <v>1.2030233363100786</v>
      </c>
      <c r="W922" s="304">
        <f t="shared" ca="1" si="410"/>
        <v>55.08454541533704</v>
      </c>
      <c r="Y922" s="314" t="str">
        <f t="shared" ca="1" si="428"/>
        <v/>
      </c>
      <c r="Z922" s="315" t="str">
        <f t="shared" ca="1" si="429"/>
        <v/>
      </c>
      <c r="AA922" s="316" t="str">
        <f t="shared" ca="1" si="430"/>
        <v/>
      </c>
      <c r="AC922" s="310" t="e">
        <f t="shared" ca="1" si="431"/>
        <v>#N/A</v>
      </c>
      <c r="AD922" s="323" t="e">
        <f t="shared" ca="1" si="432"/>
        <v>#N/A</v>
      </c>
      <c r="AE922" s="324" t="e">
        <f t="shared" ca="1" si="411"/>
        <v>#N/A</v>
      </c>
      <c r="AG922" s="306">
        <f t="shared" ca="1" si="433"/>
        <v>6.8210702663634493E-2</v>
      </c>
      <c r="AH922" s="304">
        <f t="shared" ca="1" si="434"/>
        <v>-9.729052691562396</v>
      </c>
    </row>
    <row r="923" spans="1:34" x14ac:dyDescent="0.2">
      <c r="A923" s="347">
        <f t="shared" ca="1" si="412"/>
        <v>0.1</v>
      </c>
      <c r="B923" s="304">
        <f t="shared" ca="1" si="413"/>
        <v>59.90000000000051</v>
      </c>
      <c r="D923" s="306">
        <f t="shared" ca="1" si="414"/>
        <v>-0.49354637897881487</v>
      </c>
      <c r="E923" s="307">
        <f t="shared" ca="1" si="415"/>
        <v>-7.6477664556120928E-2</v>
      </c>
      <c r="F923" s="304">
        <f t="shared" ca="1" si="416"/>
        <v>0.49943654389627767</v>
      </c>
      <c r="G923" s="306">
        <f t="shared" ca="1" si="417"/>
        <v>8.372760616496052</v>
      </c>
      <c r="H923" s="307">
        <f t="shared" ca="1" si="418"/>
        <v>-166.10520299508951</v>
      </c>
      <c r="I923" s="304">
        <f t="shared" ca="1" si="419"/>
        <v>166.31608936714764</v>
      </c>
      <c r="J923" s="306">
        <f t="shared" ca="1" si="420"/>
        <v>1408.6307471478742</v>
      </c>
      <c r="K923" s="307">
        <f t="shared" ca="1" si="421"/>
        <v>164.41500596835928</v>
      </c>
      <c r="L923" s="304">
        <f t="shared" ca="1" si="406"/>
        <v>1418.1935255803257</v>
      </c>
      <c r="M923" s="306">
        <f t="shared" ca="1" si="422"/>
        <v>-1.5204325809283215</v>
      </c>
      <c r="N923" s="304">
        <f t="shared" ca="1" si="423"/>
        <v>-87.114369921375797</v>
      </c>
      <c r="P923" s="310">
        <f t="shared" ca="1" si="424"/>
        <v>23</v>
      </c>
      <c r="Q923" s="304">
        <f t="shared" ca="1" si="425"/>
        <v>0</v>
      </c>
      <c r="R923" s="306">
        <f t="shared" ca="1" si="426"/>
        <v>0</v>
      </c>
      <c r="S923" s="307">
        <f t="shared" ca="1" si="427"/>
        <v>5.6519999999999806</v>
      </c>
      <c r="T923" s="304">
        <f t="shared" ca="1" si="407"/>
        <v>55.446119999999816</v>
      </c>
      <c r="U923" s="311">
        <f t="shared" ca="1" si="408"/>
        <v>0</v>
      </c>
      <c r="V923" s="306">
        <f t="shared" ca="1" si="409"/>
        <v>1.2050233845364098</v>
      </c>
      <c r="W923" s="304">
        <f t="shared" ca="1" si="410"/>
        <v>55.179539063575398</v>
      </c>
      <c r="Y923" s="314" t="str">
        <f t="shared" ca="1" si="428"/>
        <v/>
      </c>
      <c r="Z923" s="315" t="str">
        <f t="shared" ca="1" si="429"/>
        <v/>
      </c>
      <c r="AA923" s="316" t="str">
        <f t="shared" ca="1" si="430"/>
        <v/>
      </c>
      <c r="AC923" s="310" t="e">
        <f t="shared" ca="1" si="431"/>
        <v>#N/A</v>
      </c>
      <c r="AD923" s="323" t="e">
        <f t="shared" ca="1" si="432"/>
        <v>#N/A</v>
      </c>
      <c r="AE923" s="324" t="e">
        <f t="shared" ca="1" si="411"/>
        <v>#N/A</v>
      </c>
      <c r="AG923" s="306">
        <f t="shared" ca="1" si="433"/>
        <v>5.1385966870411082E-2</v>
      </c>
      <c r="AH923" s="304">
        <f t="shared" ca="1" si="434"/>
        <v>-9.7460271435486963</v>
      </c>
    </row>
    <row r="924" spans="1:34" x14ac:dyDescent="0.2">
      <c r="A924" s="347">
        <f t="shared" ca="1" si="412"/>
        <v>0.1</v>
      </c>
      <c r="B924" s="304">
        <f t="shared" ca="1" si="413"/>
        <v>60.000000000000512</v>
      </c>
      <c r="D924" s="306">
        <f t="shared" ca="1" si="414"/>
        <v>-0.49148506467934644</v>
      </c>
      <c r="E924" s="307">
        <f t="shared" ca="1" si="415"/>
        <v>-5.9544901979691645E-2</v>
      </c>
      <c r="F924" s="304">
        <f t="shared" ca="1" si="416"/>
        <v>0.49507894739590014</v>
      </c>
      <c r="G924" s="306">
        <f t="shared" ca="1" si="417"/>
        <v>8.3236121100281171</v>
      </c>
      <c r="H924" s="307">
        <f t="shared" ca="1" si="418"/>
        <v>-166.11115748528749</v>
      </c>
      <c r="I924" s="304">
        <f t="shared" ca="1" si="419"/>
        <v>166.31956938274038</v>
      </c>
      <c r="J924" s="306">
        <f t="shared" ca="1" si="420"/>
        <v>1409.4655657842004</v>
      </c>
      <c r="K924" s="307">
        <f t="shared" ca="1" si="421"/>
        <v>147.80418794434044</v>
      </c>
      <c r="L924" s="304">
        <f t="shared" ca="1" si="406"/>
        <v>1417.1941501097378</v>
      </c>
      <c r="M924" s="306">
        <f t="shared" ca="1" si="422"/>
        <v>-1.5207295150260753</v>
      </c>
      <c r="N924" s="304">
        <f t="shared" ca="1" si="423"/>
        <v>-87.131382991970625</v>
      </c>
      <c r="P924" s="310">
        <f t="shared" ca="1" si="424"/>
        <v>23</v>
      </c>
      <c r="Q924" s="304">
        <f t="shared" ca="1" si="425"/>
        <v>0</v>
      </c>
      <c r="R924" s="306">
        <f t="shared" ca="1" si="426"/>
        <v>0</v>
      </c>
      <c r="S924" s="307">
        <f t="shared" ca="1" si="427"/>
        <v>5.6519999999999806</v>
      </c>
      <c r="T924" s="304">
        <f t="shared" ca="1" si="407"/>
        <v>55.446119999999816</v>
      </c>
      <c r="U924" s="311">
        <f t="shared" ca="1" si="408"/>
        <v>0</v>
      </c>
      <c r="V924" s="306">
        <f t="shared" ca="1" si="409"/>
        <v>1.2070268125952746</v>
      </c>
      <c r="W924" s="304">
        <f t="shared" ca="1" si="410"/>
        <v>55.273591587091389</v>
      </c>
      <c r="Y924" s="314" t="str">
        <f t="shared" ca="1" si="428"/>
        <v/>
      </c>
      <c r="Z924" s="315" t="str">
        <f t="shared" ca="1" si="429"/>
        <v/>
      </c>
      <c r="AA924" s="316" t="str">
        <f t="shared" ca="1" si="430"/>
        <v/>
      </c>
      <c r="AC924" s="310">
        <f t="shared" ca="1" si="431"/>
        <v>60.000000000000512</v>
      </c>
      <c r="AD924" s="323">
        <f t="shared" ca="1" si="432"/>
        <v>1409.4655657842004</v>
      </c>
      <c r="AE924" s="324" t="e">
        <f t="shared" ca="1" si="411"/>
        <v>#N/A</v>
      </c>
      <c r="AG924" s="306">
        <f t="shared" ca="1" si="433"/>
        <v>3.472683406333843E-2</v>
      </c>
      <c r="AH924" s="304">
        <f t="shared" ca="1" si="434"/>
        <v>-9.7628342292242731</v>
      </c>
    </row>
    <row r="925" spans="1:34" x14ac:dyDescent="0.2">
      <c r="A925" s="347">
        <f t="shared" ca="1" si="412"/>
        <v>0.1</v>
      </c>
      <c r="B925" s="304">
        <f t="shared" ca="1" si="413"/>
        <v>60.100000000000513</v>
      </c>
      <c r="D925" s="306">
        <f t="shared" ca="1" si="414"/>
        <v>-0.48942259292069584</v>
      </c>
      <c r="E925" s="307">
        <f t="shared" ca="1" si="415"/>
        <v>-4.2779671272688446E-2</v>
      </c>
      <c r="F925" s="304">
        <f t="shared" ca="1" si="416"/>
        <v>0.49128868777473028</v>
      </c>
      <c r="G925" s="306">
        <f t="shared" ca="1" si="417"/>
        <v>8.2746698507360481</v>
      </c>
      <c r="H925" s="307">
        <f t="shared" ca="1" si="418"/>
        <v>-166.11543545241477</v>
      </c>
      <c r="I925" s="304">
        <f t="shared" ca="1" si="419"/>
        <v>166.32139987591512</v>
      </c>
      <c r="J925" s="306">
        <f t="shared" ca="1" si="420"/>
        <v>1410.2954798822386</v>
      </c>
      <c r="K925" s="307">
        <f t="shared" ca="1" si="421"/>
        <v>131.19285829745533</v>
      </c>
      <c r="L925" s="304">
        <f t="shared" ca="1" si="406"/>
        <v>1416.3844487442418</v>
      </c>
      <c r="M925" s="306">
        <f t="shared" ca="1" si="422"/>
        <v>-1.521024696681166</v>
      </c>
      <c r="N925" s="304">
        <f t="shared" ca="1" si="423"/>
        <v>-87.148295654997</v>
      </c>
      <c r="P925" s="310">
        <f t="shared" ca="1" si="424"/>
        <v>23</v>
      </c>
      <c r="Q925" s="304">
        <f t="shared" ca="1" si="425"/>
        <v>0</v>
      </c>
      <c r="R925" s="306">
        <f t="shared" ca="1" si="426"/>
        <v>0</v>
      </c>
      <c r="S925" s="307">
        <f t="shared" ca="1" si="427"/>
        <v>5.6519999999999806</v>
      </c>
      <c r="T925" s="304">
        <f t="shared" ca="1" si="407"/>
        <v>55.446119999999816</v>
      </c>
      <c r="U925" s="311">
        <f t="shared" ca="1" si="408"/>
        <v>0</v>
      </c>
      <c r="V925" s="306">
        <f t="shared" ca="1" si="409"/>
        <v>1.2090336086842324</v>
      </c>
      <c r="W925" s="304">
        <f t="shared" ca="1" si="410"/>
        <v>55.366707852657456</v>
      </c>
      <c r="Y925" s="314" t="str">
        <f t="shared" ca="1" si="428"/>
        <v/>
      </c>
      <c r="Z925" s="315" t="str">
        <f t="shared" ca="1" si="429"/>
        <v/>
      </c>
      <c r="AA925" s="316" t="str">
        <f t="shared" ca="1" si="430"/>
        <v/>
      </c>
      <c r="AC925" s="310" t="e">
        <f t="shared" ca="1" si="431"/>
        <v>#N/A</v>
      </c>
      <c r="AD925" s="323" t="e">
        <f t="shared" ca="1" si="432"/>
        <v>#N/A</v>
      </c>
      <c r="AE925" s="324" t="e">
        <f t="shared" ca="1" si="411"/>
        <v>#N/A</v>
      </c>
      <c r="AG925" s="306">
        <f t="shared" ca="1" si="433"/>
        <v>1.8232471992590149E-2</v>
      </c>
      <c r="AH925" s="304">
        <f t="shared" ca="1" si="434"/>
        <v>-9.7794748030947591</v>
      </c>
    </row>
    <row r="926" spans="1:34" x14ac:dyDescent="0.2">
      <c r="A926" s="347">
        <f t="shared" ca="1" si="412"/>
        <v>0.1</v>
      </c>
      <c r="B926" s="304">
        <f t="shared" ca="1" si="413"/>
        <v>60.200000000000514</v>
      </c>
      <c r="D926" s="306">
        <f t="shared" ca="1" si="414"/>
        <v>-0.48735911265443649</v>
      </c>
      <c r="E926" s="307">
        <f t="shared" ca="1" si="415"/>
        <v>-2.6181106839825219E-2</v>
      </c>
      <c r="F926" s="304">
        <f t="shared" ca="1" si="416"/>
        <v>0.48806183526544877</v>
      </c>
      <c r="G926" s="306">
        <f t="shared" ca="1" si="417"/>
        <v>8.2259339394706039</v>
      </c>
      <c r="H926" s="307">
        <f t="shared" ca="1" si="418"/>
        <v>-166.11805356309875</v>
      </c>
      <c r="I926" s="304">
        <f t="shared" ca="1" si="419"/>
        <v>166.32159724091483</v>
      </c>
      <c r="J926" s="306">
        <f t="shared" ca="1" si="420"/>
        <v>1411.1205100717489</v>
      </c>
      <c r="K926" s="307">
        <f t="shared" ca="1" si="421"/>
        <v>114.58118384667965</v>
      </c>
      <c r="L926" s="304">
        <f t="shared" ca="1" si="406"/>
        <v>1415.764790364861</v>
      </c>
      <c r="M926" s="306">
        <f t="shared" ca="1" si="422"/>
        <v>-1.5213181391108315</v>
      </c>
      <c r="N926" s="304">
        <f t="shared" ca="1" si="423"/>
        <v>-87.165108667746907</v>
      </c>
      <c r="P926" s="310">
        <f t="shared" ca="1" si="424"/>
        <v>23</v>
      </c>
      <c r="Q926" s="304">
        <f t="shared" ca="1" si="425"/>
        <v>0</v>
      </c>
      <c r="R926" s="306">
        <f t="shared" ca="1" si="426"/>
        <v>0</v>
      </c>
      <c r="S926" s="307">
        <f t="shared" ca="1" si="427"/>
        <v>5.6519999999999806</v>
      </c>
      <c r="T926" s="304">
        <f t="shared" ca="1" si="407"/>
        <v>55.446119999999816</v>
      </c>
      <c r="U926" s="311">
        <f t="shared" ca="1" si="408"/>
        <v>0</v>
      </c>
      <c r="V926" s="306">
        <f t="shared" ca="1" si="409"/>
        <v>1.2110437610975564</v>
      </c>
      <c r="W926" s="304">
        <f t="shared" ca="1" si="410"/>
        <v>55.458892762826835</v>
      </c>
      <c r="Y926" s="314" t="str">
        <f t="shared" ca="1" si="428"/>
        <v/>
      </c>
      <c r="Z926" s="315" t="str">
        <f t="shared" ca="1" si="429"/>
        <v/>
      </c>
      <c r="AA926" s="316" t="str">
        <f t="shared" ca="1" si="430"/>
        <v/>
      </c>
      <c r="AC926" s="310" t="e">
        <f t="shared" ca="1" si="431"/>
        <v>#N/A</v>
      </c>
      <c r="AD926" s="323" t="e">
        <f t="shared" ca="1" si="432"/>
        <v>#N/A</v>
      </c>
      <c r="AE926" s="324" t="e">
        <f t="shared" ca="1" si="411"/>
        <v>#N/A</v>
      </c>
      <c r="AG926" s="306">
        <f t="shared" ca="1" si="433"/>
        <v>1.9020415147803504E-3</v>
      </c>
      <c r="AH926" s="304">
        <f t="shared" ca="1" si="434"/>
        <v>-9.7959497262310062</v>
      </c>
    </row>
    <row r="927" spans="1:34" x14ac:dyDescent="0.2">
      <c r="A927" s="347">
        <f t="shared" ca="1" si="412"/>
        <v>0.1</v>
      </c>
      <c r="B927" s="304">
        <f t="shared" ca="1" si="413"/>
        <v>60.300000000000516</v>
      </c>
      <c r="D927" s="306">
        <f t="shared" ca="1" si="414"/>
        <v>-0.4852947710573251</v>
      </c>
      <c r="E927" s="307">
        <f t="shared" ca="1" si="415"/>
        <v>-9.7483367121693476E-3</v>
      </c>
      <c r="F927" s="304">
        <f t="shared" ca="1" si="416"/>
        <v>0.48539267081841625</v>
      </c>
      <c r="G927" s="306">
        <f t="shared" ca="1" si="417"/>
        <v>8.177404462364871</v>
      </c>
      <c r="H927" s="307">
        <f t="shared" ca="1" si="418"/>
        <v>-166.11902839676998</v>
      </c>
      <c r="I927" s="304">
        <f t="shared" ca="1" si="419"/>
        <v>166.32017778738688</v>
      </c>
      <c r="J927" s="306">
        <f t="shared" ca="1" si="420"/>
        <v>1411.9406769918407</v>
      </c>
      <c r="K927" s="307">
        <f t="shared" ca="1" si="421"/>
        <v>97.969329748686206</v>
      </c>
      <c r="L927" s="304">
        <f t="shared" ca="1" si="406"/>
        <v>1415.3354602056659</v>
      </c>
      <c r="M927" s="306">
        <f t="shared" ca="1" si="422"/>
        <v>-1.5216098553751678</v>
      </c>
      <c r="N927" s="304">
        <f t="shared" ca="1" si="423"/>
        <v>-87.181822778508689</v>
      </c>
      <c r="P927" s="310">
        <f t="shared" ca="1" si="424"/>
        <v>23</v>
      </c>
      <c r="Q927" s="304">
        <f t="shared" ca="1" si="425"/>
        <v>0</v>
      </c>
      <c r="R927" s="306">
        <f t="shared" ca="1" si="426"/>
        <v>0</v>
      </c>
      <c r="S927" s="307">
        <f t="shared" ca="1" si="427"/>
        <v>5.6519999999999806</v>
      </c>
      <c r="T927" s="304">
        <f t="shared" ca="1" si="407"/>
        <v>55.446119999999816</v>
      </c>
      <c r="U927" s="311">
        <f t="shared" ca="1" si="408"/>
        <v>0</v>
      </c>
      <c r="V927" s="306">
        <f t="shared" ca="1" si="409"/>
        <v>1.2130572582261336</v>
      </c>
      <c r="W927" s="304">
        <f t="shared" ca="1" si="410"/>
        <v>55.550151254623039</v>
      </c>
      <c r="Y927" s="314" t="str">
        <f t="shared" ca="1" si="428"/>
        <v/>
      </c>
      <c r="Z927" s="315" t="str">
        <f t="shared" ca="1" si="429"/>
        <v/>
      </c>
      <c r="AA927" s="316" t="str">
        <f t="shared" ca="1" si="430"/>
        <v/>
      </c>
      <c r="AC927" s="310" t="e">
        <f t="shared" ca="1" si="431"/>
        <v>#N/A</v>
      </c>
      <c r="AD927" s="323" t="e">
        <f t="shared" ca="1" si="432"/>
        <v>#N/A</v>
      </c>
      <c r="AE927" s="324" t="e">
        <f t="shared" ca="1" si="411"/>
        <v>#N/A</v>
      </c>
      <c r="AG927" s="306">
        <f t="shared" ca="1" si="433"/>
        <v>-1.4265303166538956E-2</v>
      </c>
      <c r="AH927" s="304">
        <f t="shared" ca="1" si="434"/>
        <v>-9.8122598660345055</v>
      </c>
    </row>
    <row r="928" spans="1:34" x14ac:dyDescent="0.2">
      <c r="A928" s="347">
        <f t="shared" ca="1" si="412"/>
        <v>0.1</v>
      </c>
      <c r="B928" s="304">
        <f t="shared" ca="1" si="413"/>
        <v>60.400000000000517</v>
      </c>
      <c r="D928" s="306">
        <f t="shared" ca="1" si="414"/>
        <v>-0.48322971353572508</v>
      </c>
      <c r="E928" s="307">
        <f t="shared" ca="1" si="415"/>
        <v>6.5195172196723661E-3</v>
      </c>
      <c r="F928" s="304">
        <f t="shared" ca="1" si="416"/>
        <v>0.48327369072669007</v>
      </c>
      <c r="G928" s="306">
        <f t="shared" ca="1" si="417"/>
        <v>8.1290814910112985</v>
      </c>
      <c r="H928" s="307">
        <f t="shared" ca="1" si="418"/>
        <v>-166.118376445048</v>
      </c>
      <c r="I928" s="304">
        <f t="shared" ca="1" si="419"/>
        <v>166.31715773974187</v>
      </c>
      <c r="J928" s="306">
        <f t="shared" ca="1" si="420"/>
        <v>1412.7560012895096</v>
      </c>
      <c r="K928" s="307">
        <f t="shared" ca="1" si="421"/>
        <v>81.357459506595305</v>
      </c>
      <c r="L928" s="304">
        <f t="shared" ca="1" si="406"/>
        <v>1415.0966593829878</v>
      </c>
      <c r="M928" s="306">
        <f t="shared" ca="1" si="422"/>
        <v>-1.521899858379631</v>
      </c>
      <c r="N928" s="304">
        <f t="shared" ca="1" si="423"/>
        <v>-87.198438726710549</v>
      </c>
      <c r="P928" s="310">
        <f t="shared" ca="1" si="424"/>
        <v>23</v>
      </c>
      <c r="Q928" s="304">
        <f t="shared" ca="1" si="425"/>
        <v>0</v>
      </c>
      <c r="R928" s="306">
        <f t="shared" ca="1" si="426"/>
        <v>0</v>
      </c>
      <c r="S928" s="307">
        <f t="shared" ca="1" si="427"/>
        <v>5.6519999999999806</v>
      </c>
      <c r="T928" s="304">
        <f t="shared" ca="1" si="407"/>
        <v>55.446119999999816</v>
      </c>
      <c r="U928" s="311">
        <f t="shared" ca="1" si="408"/>
        <v>0</v>
      </c>
      <c r="V928" s="306">
        <f t="shared" ca="1" si="409"/>
        <v>1.2150740885573552</v>
      </c>
      <c r="W928" s="304">
        <f t="shared" ca="1" si="410"/>
        <v>55.640488298244186</v>
      </c>
      <c r="Y928" s="314" t="str">
        <f t="shared" ca="1" si="428"/>
        <v/>
      </c>
      <c r="Z928" s="315" t="str">
        <f t="shared" ca="1" si="429"/>
        <v/>
      </c>
      <c r="AA928" s="316" t="str">
        <f t="shared" ca="1" si="430"/>
        <v/>
      </c>
      <c r="AC928" s="310" t="e">
        <f t="shared" ca="1" si="431"/>
        <v>#N/A</v>
      </c>
      <c r="AD928" s="323" t="e">
        <f t="shared" ca="1" si="432"/>
        <v>#N/A</v>
      </c>
      <c r="AE928" s="324" t="e">
        <f t="shared" ca="1" si="411"/>
        <v>#N/A</v>
      </c>
      <c r="AG928" s="306">
        <f t="shared" ca="1" si="433"/>
        <v>-3.0270414263252832E-2</v>
      </c>
      <c r="AH928" s="304">
        <f t="shared" ca="1" si="434"/>
        <v>-9.8284060960055246</v>
      </c>
    </row>
    <row r="929" spans="1:34" x14ac:dyDescent="0.2">
      <c r="A929" s="347">
        <f t="shared" ca="1" si="412"/>
        <v>0.1</v>
      </c>
      <c r="B929" s="304">
        <f t="shared" ca="1" si="413"/>
        <v>60.500000000000519</v>
      </c>
      <c r="D929" s="306">
        <f t="shared" ca="1" si="414"/>
        <v>-0.48116408373030545</v>
      </c>
      <c r="E929" s="307">
        <f t="shared" ca="1" si="415"/>
        <v>2.262333897500568E-2</v>
      </c>
      <c r="F929" s="304">
        <f t="shared" ca="1" si="416"/>
        <v>0.48169564139444154</v>
      </c>
      <c r="G929" s="306">
        <f t="shared" ca="1" si="417"/>
        <v>8.0809650826382686</v>
      </c>
      <c r="H929" s="307">
        <f t="shared" ca="1" si="418"/>
        <v>-166.11611411115049</v>
      </c>
      <c r="I929" s="304">
        <f t="shared" ca="1" si="419"/>
        <v>166.3125532365359</v>
      </c>
      <c r="J929" s="306">
        <f t="shared" ca="1" si="420"/>
        <v>1413.5665036181922</v>
      </c>
      <c r="K929" s="307">
        <f t="shared" ca="1" si="421"/>
        <v>64.745734978785379</v>
      </c>
      <c r="L929" s="304">
        <f t="shared" ca="1" si="406"/>
        <v>1415.0485045924411</v>
      </c>
      <c r="M929" s="306">
        <f t="shared" ca="1" si="422"/>
        <v>-1.5221881608774914</v>
      </c>
      <c r="N929" s="304">
        <f t="shared" ca="1" si="423"/>
        <v>-87.214957243061036</v>
      </c>
      <c r="P929" s="310">
        <f t="shared" ca="1" si="424"/>
        <v>23</v>
      </c>
      <c r="Q929" s="304">
        <f t="shared" ca="1" si="425"/>
        <v>0</v>
      </c>
      <c r="R929" s="306">
        <f t="shared" ca="1" si="426"/>
        <v>0</v>
      </c>
      <c r="S929" s="307">
        <f t="shared" ca="1" si="427"/>
        <v>5.6519999999999806</v>
      </c>
      <c r="T929" s="304">
        <f t="shared" ca="1" si="407"/>
        <v>55.446119999999816</v>
      </c>
      <c r="U929" s="311">
        <f t="shared" ca="1" si="408"/>
        <v>0</v>
      </c>
      <c r="V929" s="306">
        <f t="shared" ca="1" si="409"/>
        <v>1.2170942406750023</v>
      </c>
      <c r="W929" s="304">
        <f t="shared" ca="1" si="410"/>
        <v>55.7299088957827</v>
      </c>
      <c r="Y929" s="314" t="str">
        <f t="shared" ca="1" si="428"/>
        <v/>
      </c>
      <c r="Z929" s="315" t="str">
        <f t="shared" ca="1" si="429"/>
        <v/>
      </c>
      <c r="AA929" s="316" t="str">
        <f t="shared" ca="1" si="430"/>
        <v/>
      </c>
      <c r="AC929" s="310" t="e">
        <f t="shared" ca="1" si="431"/>
        <v>#N/A</v>
      </c>
      <c r="AD929" s="323" t="e">
        <f t="shared" ca="1" si="432"/>
        <v>#N/A</v>
      </c>
      <c r="AE929" s="324" t="e">
        <f t="shared" ca="1" si="411"/>
        <v>#N/A</v>
      </c>
      <c r="AG929" s="306">
        <f t="shared" ca="1" si="433"/>
        <v>-4.6114150167758439E-2</v>
      </c>
      <c r="AH929" s="304">
        <f t="shared" ca="1" si="434"/>
        <v>-9.8443892955138672</v>
      </c>
    </row>
    <row r="930" spans="1:34" x14ac:dyDescent="0.2">
      <c r="A930" s="347">
        <f t="shared" ca="1" si="412"/>
        <v>0.1</v>
      </c>
      <c r="B930" s="304">
        <f t="shared" ca="1" si="413"/>
        <v>60.60000000000052</v>
      </c>
      <c r="D930" s="306">
        <f t="shared" ca="1" si="414"/>
        <v>-0.47909802352104391</v>
      </c>
      <c r="E930" s="307">
        <f t="shared" ca="1" si="415"/>
        <v>3.8564018255240029E-2</v>
      </c>
      <c r="F930" s="304">
        <f t="shared" ca="1" si="416"/>
        <v>0.48064758362625859</v>
      </c>
      <c r="G930" s="306">
        <f t="shared" ca="1" si="417"/>
        <v>8.033055280286165</v>
      </c>
      <c r="H930" s="307">
        <f t="shared" ca="1" si="418"/>
        <v>-166.11225770932498</v>
      </c>
      <c r="I930" s="304">
        <f t="shared" ca="1" si="419"/>
        <v>166.30638032987591</v>
      </c>
      <c r="J930" s="306">
        <f t="shared" ca="1" si="420"/>
        <v>1414.3722046363384</v>
      </c>
      <c r="K930" s="307">
        <f t="shared" ca="1" si="421"/>
        <v>48.134316387761601</v>
      </c>
      <c r="L930" s="304">
        <f t="shared" ca="1" si="406"/>
        <v>1415.1910279753661</v>
      </c>
      <c r="M930" s="306">
        <f t="shared" ca="1" si="422"/>
        <v>-1.5224747754722461</v>
      </c>
      <c r="N930" s="304">
        <f t="shared" ca="1" si="423"/>
        <v>-87.23137904968732</v>
      </c>
      <c r="P930" s="310">
        <f t="shared" ca="1" si="424"/>
        <v>23</v>
      </c>
      <c r="Q930" s="304">
        <f t="shared" ca="1" si="425"/>
        <v>0</v>
      </c>
      <c r="R930" s="306">
        <f t="shared" ca="1" si="426"/>
        <v>0</v>
      </c>
      <c r="S930" s="307">
        <f t="shared" ca="1" si="427"/>
        <v>5.6519999999999806</v>
      </c>
      <c r="T930" s="304">
        <f t="shared" ca="1" si="407"/>
        <v>55.446119999999816</v>
      </c>
      <c r="U930" s="311">
        <f t="shared" ca="1" si="408"/>
        <v>0</v>
      </c>
      <c r="V930" s="306">
        <f t="shared" ca="1" si="409"/>
        <v>1.2191177032591201</v>
      </c>
      <c r="W930" s="304">
        <f t="shared" ca="1" si="410"/>
        <v>55.818418079959912</v>
      </c>
      <c r="Y930" s="314" t="str">
        <f t="shared" ca="1" si="428"/>
        <v/>
      </c>
      <c r="Z930" s="315" t="str">
        <f t="shared" ca="1" si="429"/>
        <v/>
      </c>
      <c r="AA930" s="316" t="str">
        <f t="shared" ca="1" si="430"/>
        <v/>
      </c>
      <c r="AC930" s="310" t="e">
        <f t="shared" ca="1" si="431"/>
        <v>#N/A</v>
      </c>
      <c r="AD930" s="323" t="e">
        <f t="shared" ca="1" si="432"/>
        <v>#N/A</v>
      </c>
      <c r="AE930" s="324" t="e">
        <f t="shared" ca="1" si="411"/>
        <v>#N/A</v>
      </c>
      <c r="AG930" s="306">
        <f t="shared" ca="1" si="433"/>
        <v>-6.1797375220914219E-2</v>
      </c>
      <c r="AH930" s="304">
        <f t="shared" ca="1" si="434"/>
        <v>-9.8602103495723448</v>
      </c>
    </row>
    <row r="931" spans="1:34" x14ac:dyDescent="0.2">
      <c r="A931" s="347">
        <f t="shared" ca="1" si="412"/>
        <v>0.1</v>
      </c>
      <c r="B931" s="304">
        <f t="shared" ca="1" si="413"/>
        <v>60.700000000000522</v>
      </c>
      <c r="D931" s="306">
        <f t="shared" ca="1" si="414"/>
        <v>-0.47703167303247146</v>
      </c>
      <c r="E931" s="307">
        <f t="shared" ca="1" si="415"/>
        <v>5.4342450218726412E-2</v>
      </c>
      <c r="F931" s="304">
        <f t="shared" ca="1" si="416"/>
        <v>0.48011698467345798</v>
      </c>
      <c r="G931" s="306">
        <f t="shared" ca="1" si="417"/>
        <v>7.9853521129829179</v>
      </c>
      <c r="H931" s="307">
        <f t="shared" ca="1" si="418"/>
        <v>-166.10682346430312</v>
      </c>
      <c r="I931" s="304">
        <f t="shared" ca="1" si="419"/>
        <v>166.2986549848479</v>
      </c>
      <c r="J931" s="306">
        <f t="shared" ca="1" si="420"/>
        <v>1415.1731250060018</v>
      </c>
      <c r="K931" s="307">
        <f t="shared" ca="1" si="421"/>
        <v>31.523362329080197</v>
      </c>
      <c r="L931" s="304">
        <f t="shared" ca="1" si="406"/>
        <v>1415.5241771555097</v>
      </c>
      <c r="M931" s="306">
        <f t="shared" ca="1" si="422"/>
        <v>-1.5227597146199852</v>
      </c>
      <c r="N931" s="304">
        <f t="shared" ca="1" si="423"/>
        <v>-87.247704860270829</v>
      </c>
      <c r="P931" s="310">
        <f t="shared" ca="1" si="424"/>
        <v>23</v>
      </c>
      <c r="Q931" s="304">
        <f t="shared" ca="1" si="425"/>
        <v>0</v>
      </c>
      <c r="R931" s="306">
        <f t="shared" ca="1" si="426"/>
        <v>0</v>
      </c>
      <c r="S931" s="307">
        <f t="shared" ca="1" si="427"/>
        <v>5.6519999999999806</v>
      </c>
      <c r="T931" s="304">
        <f t="shared" ca="1" si="407"/>
        <v>55.446119999999816</v>
      </c>
      <c r="U931" s="311">
        <f t="shared" ca="1" si="408"/>
        <v>0</v>
      </c>
      <c r="V931" s="306">
        <f t="shared" ca="1" si="409"/>
        <v>1.2211444650858911</v>
      </c>
      <c r="W931" s="304">
        <f t="shared" ca="1" si="410"/>
        <v>55.906020912876123</v>
      </c>
      <c r="Y931" s="314" t="str">
        <f t="shared" ca="1" si="428"/>
        <v/>
      </c>
      <c r="Z931" s="315" t="str">
        <f t="shared" ca="1" si="429"/>
        <v/>
      </c>
      <c r="AA931" s="316" t="str">
        <f t="shared" ca="1" si="430"/>
        <v/>
      </c>
      <c r="AC931" s="310" t="e">
        <f t="shared" ca="1" si="431"/>
        <v>#N/A</v>
      </c>
      <c r="AD931" s="323" t="e">
        <f t="shared" ca="1" si="432"/>
        <v>#N/A</v>
      </c>
      <c r="AE931" s="324" t="e">
        <f t="shared" ca="1" si="411"/>
        <v>#N/A</v>
      </c>
      <c r="AG931" s="306">
        <f t="shared" ca="1" si="433"/>
        <v>-7.7320959482733542E-2</v>
      </c>
      <c r="AH931" s="304">
        <f t="shared" ca="1" si="434"/>
        <v>-9.8758701486128988</v>
      </c>
    </row>
    <row r="932" spans="1:34" x14ac:dyDescent="0.2">
      <c r="A932" s="347">
        <f t="shared" ca="1" si="412"/>
        <v>0.1</v>
      </c>
      <c r="B932" s="304">
        <f t="shared" ca="1" si="413"/>
        <v>60.800000000000523</v>
      </c>
      <c r="D932" s="306">
        <f t="shared" ca="1" si="414"/>
        <v>-0.47496517063921639</v>
      </c>
      <c r="E932" s="307">
        <f t="shared" ca="1" si="415"/>
        <v>6.9959535258341532E-2</v>
      </c>
      <c r="F932" s="304">
        <f t="shared" ca="1" si="416"/>
        <v>0.48008983523284793</v>
      </c>
      <c r="G932" s="306">
        <f t="shared" ca="1" si="417"/>
        <v>7.9378555959189967</v>
      </c>
      <c r="H932" s="307">
        <f t="shared" ca="1" si="418"/>
        <v>-166.09982751077729</v>
      </c>
      <c r="I932" s="304">
        <f t="shared" ca="1" si="419"/>
        <v>166.28939307896829</v>
      </c>
      <c r="J932" s="306">
        <f t="shared" ca="1" si="420"/>
        <v>1415.9692853914469</v>
      </c>
      <c r="K932" s="307">
        <f t="shared" ca="1" si="421"/>
        <v>14.913029780326177</v>
      </c>
      <c r="L932" s="304">
        <f t="shared" ca="1" si="406"/>
        <v>1416.0478154459311</v>
      </c>
      <c r="M932" s="306">
        <f t="shared" ca="1" si="422"/>
        <v>-1.5230429906317189</v>
      </c>
      <c r="N932" s="304">
        <f t="shared" ca="1" si="423"/>
        <v>-87.26393538018047</v>
      </c>
      <c r="P932" s="310">
        <f t="shared" ca="1" si="424"/>
        <v>23</v>
      </c>
      <c r="Q932" s="304">
        <f t="shared" ca="1" si="425"/>
        <v>0</v>
      </c>
      <c r="R932" s="306">
        <f t="shared" ca="1" si="426"/>
        <v>0</v>
      </c>
      <c r="S932" s="307">
        <f t="shared" ca="1" si="427"/>
        <v>5.6519999999999806</v>
      </c>
      <c r="T932" s="304">
        <f t="shared" ca="1" si="407"/>
        <v>55.446119999999816</v>
      </c>
      <c r="U932" s="311">
        <f t="shared" ca="1" si="408"/>
        <v>0</v>
      </c>
      <c r="V932" s="306">
        <f t="shared" ca="1" si="409"/>
        <v>1.2231745150274977</v>
      </c>
      <c r="W932" s="304">
        <f t="shared" ca="1" si="410"/>
        <v>55.992722484776046</v>
      </c>
      <c r="Y932" s="314" t="str">
        <f t="shared" ca="1" si="428"/>
        <v/>
      </c>
      <c r="Z932" s="315" t="str">
        <f t="shared" ca="1" si="429"/>
        <v/>
      </c>
      <c r="AA932" s="316" t="str">
        <f t="shared" ca="1" si="430"/>
        <v/>
      </c>
      <c r="AC932" s="310" t="e">
        <f t="shared" ca="1" si="431"/>
        <v>#N/A</v>
      </c>
      <c r="AD932" s="323" t="e">
        <f t="shared" ca="1" si="432"/>
        <v>#N/A</v>
      </c>
      <c r="AE932" s="324" t="e">
        <f t="shared" ca="1" si="411"/>
        <v>#N/A</v>
      </c>
      <c r="AG932" s="306">
        <f t="shared" ca="1" si="433"/>
        <v>-9.268577850592763E-2</v>
      </c>
      <c r="AH932" s="304">
        <f t="shared" ca="1" si="434"/>
        <v>-9.891369588265448</v>
      </c>
    </row>
    <row r="933" spans="1:34" x14ac:dyDescent="0.2">
      <c r="A933" s="347">
        <f t="shared" ca="1" si="412"/>
        <v>0.1</v>
      </c>
      <c r="B933" s="304">
        <f t="shared" ca="1" si="413"/>
        <v>60.900000000000524</v>
      </c>
      <c r="D933" s="306">
        <f t="shared" ca="1" si="414"/>
        <v>-0.4728986529717738</v>
      </c>
      <c r="E933" s="307">
        <f t="shared" ca="1" si="415"/>
        <v>8.5416178781812846E-2</v>
      </c>
      <c r="F933" s="304">
        <f t="shared" ca="1" si="416"/>
        <v>0.48055078772196885</v>
      </c>
      <c r="G933" s="306">
        <f t="shared" ca="1" si="417"/>
        <v>7.8905657306218195</v>
      </c>
      <c r="H933" s="307">
        <f t="shared" ca="1" si="418"/>
        <v>-166.09128589289909</v>
      </c>
      <c r="I933" s="304">
        <f t="shared" ca="1" si="419"/>
        <v>166.27861040165689</v>
      </c>
      <c r="J933" s="306">
        <f t="shared" ca="1" si="420"/>
        <v>1416.7607064577739</v>
      </c>
      <c r="K933" s="307">
        <f t="shared" ca="1" si="421"/>
        <v>-1.696525889857643</v>
      </c>
      <c r="L933" s="304">
        <f t="shared" ca="1" si="406"/>
        <v>1416.7617222253098</v>
      </c>
      <c r="M933" s="306">
        <f t="shared" ca="1" si="422"/>
        <v>-1.5233246156756595</v>
      </c>
      <c r="N933" s="304">
        <f t="shared" ca="1" si="423"/>
        <v>-87.280071306603446</v>
      </c>
      <c r="P933" s="310">
        <f t="shared" ca="1" si="424"/>
        <v>23</v>
      </c>
      <c r="Q933" s="304">
        <f t="shared" ca="1" si="425"/>
        <v>0</v>
      </c>
      <c r="R933" s="306">
        <f t="shared" ca="1" si="426"/>
        <v>0</v>
      </c>
      <c r="S933" s="307">
        <f t="shared" ca="1" si="427"/>
        <v>5.6519999999999806</v>
      </c>
      <c r="T933" s="304">
        <f t="shared" ca="1" si="407"/>
        <v>55.446119999999816</v>
      </c>
      <c r="U933" s="311">
        <f t="shared" ca="1" si="408"/>
        <v>0</v>
      </c>
      <c r="V933" s="306">
        <f t="shared" ca="1" si="409"/>
        <v>1.2252078420519785</v>
      </c>
      <c r="W933" s="304">
        <f t="shared" ca="1" si="410"/>
        <v>56.078527912829337</v>
      </c>
      <c r="Y933" s="314" t="str">
        <f t="shared" ca="1" si="428"/>
        <v>Impact balistique</v>
      </c>
      <c r="Z933" s="315" t="str">
        <f t="shared" ca="1" si="429"/>
        <v/>
      </c>
      <c r="AA933" s="316" t="str">
        <f t="shared" ca="1" si="430"/>
        <v/>
      </c>
      <c r="AC933" s="310" t="e">
        <f t="shared" ca="1" si="431"/>
        <v>#N/A</v>
      </c>
      <c r="AD933" s="323" t="e">
        <f t="shared" ca="1" si="432"/>
        <v>#N/A</v>
      </c>
      <c r="AE933" s="324" t="e">
        <f t="shared" ca="1" si="411"/>
        <v>#N/A</v>
      </c>
      <c r="AG933" s="306">
        <f t="shared" ca="1" si="433"/>
        <v>-0.10789271311227289</v>
      </c>
      <c r="AH933" s="304">
        <f t="shared" ca="1" si="434"/>
        <v>-9.906709569139462</v>
      </c>
    </row>
    <row r="934" spans="1:34" x14ac:dyDescent="0.2">
      <c r="A934" s="347">
        <f t="shared" ca="1" si="412"/>
        <v>1E-4</v>
      </c>
      <c r="B934" s="304">
        <f t="shared" ca="1" si="413"/>
        <v>60.900100000000528</v>
      </c>
      <c r="D934" s="306">
        <f t="shared" ca="1" si="414"/>
        <v>-0.47083225492255931</v>
      </c>
      <c r="E934" s="307">
        <f t="shared" ca="1" si="415"/>
        <v>0.10071329099471704</v>
      </c>
      <c r="F934" s="304">
        <f t="shared" ca="1" si="416"/>
        <v>0.48148331150565171</v>
      </c>
      <c r="G934" s="306">
        <f t="shared" ca="1" si="417"/>
        <v>7.8905186473963269</v>
      </c>
      <c r="H934" s="307">
        <f t="shared" ca="1" si="418"/>
        <v>-166.09127582157001</v>
      </c>
      <c r="I934" s="304">
        <f t="shared" ca="1" si="419"/>
        <v>166.27859810739852</v>
      </c>
      <c r="J934" s="306">
        <f t="shared" ca="1" si="420"/>
        <v>1416.7607064577739</v>
      </c>
      <c r="K934" s="307">
        <f t="shared" ca="1" si="421"/>
        <v>-1.7131350179433664</v>
      </c>
      <c r="L934" s="304">
        <f t="shared" ca="1" si="406"/>
        <v>1416.761742211555</v>
      </c>
      <c r="M934" s="306">
        <f t="shared" ca="1" si="422"/>
        <v>-1.5233248956410899</v>
      </c>
      <c r="N934" s="304">
        <f t="shared" ca="1" si="423"/>
        <v>-87.280087347441025</v>
      </c>
      <c r="P934" s="310">
        <f t="shared" ca="1" si="424"/>
        <v>23</v>
      </c>
      <c r="Q934" s="304">
        <f t="shared" ca="1" si="425"/>
        <v>0</v>
      </c>
      <c r="R934" s="306">
        <f t="shared" ca="1" si="426"/>
        <v>0</v>
      </c>
      <c r="S934" s="307">
        <f t="shared" ca="1" si="427"/>
        <v>5.6519999999999806</v>
      </c>
      <c r="T934" s="304">
        <f t="shared" ca="1" si="407"/>
        <v>55.446119999999816</v>
      </c>
      <c r="U934" s="311">
        <f t="shared" ca="1" si="408"/>
        <v>0</v>
      </c>
      <c r="V934" s="306">
        <f t="shared" ca="1" si="409"/>
        <v>1.2252098770170816</v>
      </c>
      <c r="W934" s="304">
        <f t="shared" ca="1" si="410"/>
        <v>56.07861276180423</v>
      </c>
      <c r="Y934" s="314" t="str">
        <f t="shared" ca="1" si="428"/>
        <v/>
      </c>
      <c r="Z934" s="315" t="str">
        <f t="shared" ca="1" si="429"/>
        <v/>
      </c>
      <c r="AA934" s="316" t="str">
        <f t="shared" ca="1" si="430"/>
        <v/>
      </c>
      <c r="AC934" s="310" t="e">
        <f t="shared" ca="1" si="431"/>
        <v>#N/A</v>
      </c>
      <c r="AD934" s="323" t="e">
        <f t="shared" ca="1" si="432"/>
        <v>#N/A</v>
      </c>
      <c r="AE934" s="324" t="e">
        <f t="shared" ca="1" si="411"/>
        <v>#N/A</v>
      </c>
      <c r="AG934" s="306">
        <f t="shared" ca="1" si="433"/>
        <v>-0.122942649171776</v>
      </c>
      <c r="AH934" s="304">
        <f t="shared" ca="1" si="434"/>
        <v>-9.9218909966081963</v>
      </c>
    </row>
    <row r="935" spans="1:34" x14ac:dyDescent="0.2">
      <c r="A935" s="347">
        <f t="shared" ca="1" si="412"/>
        <v>1E-4</v>
      </c>
      <c r="B935" s="304">
        <f t="shared" ca="1" si="413"/>
        <v>60.900200000000531</v>
      </c>
      <c r="D935" s="306">
        <f t="shared" ca="1" si="414"/>
        <v>-0.47083019264858578</v>
      </c>
      <c r="E935" s="307">
        <f t="shared" ca="1" si="415"/>
        <v>0.10072841810260869</v>
      </c>
      <c r="F935" s="304">
        <f t="shared" ca="1" si="416"/>
        <v>0.48148445927460454</v>
      </c>
      <c r="G935" s="306">
        <f t="shared" ca="1" si="417"/>
        <v>7.8904715643770622</v>
      </c>
      <c r="H935" s="307">
        <f t="shared" ca="1" si="418"/>
        <v>-166.0912657487282</v>
      </c>
      <c r="I935" s="304">
        <f t="shared" ca="1" si="419"/>
        <v>166.27858581165194</v>
      </c>
      <c r="J935" s="306">
        <f t="shared" ca="1" si="420"/>
        <v>1416.7607064577739</v>
      </c>
      <c r="K935" s="307">
        <f t="shared" ca="1" si="421"/>
        <v>-1.7297441450218813</v>
      </c>
      <c r="L935" s="304">
        <f t="shared" ca="1" si="406"/>
        <v>1416.7617623925125</v>
      </c>
      <c r="M935" s="306">
        <f t="shared" ca="1" si="422"/>
        <v>-1.5233251756048909</v>
      </c>
      <c r="N935" s="304">
        <f t="shared" ca="1" si="423"/>
        <v>-87.280103388185239</v>
      </c>
      <c r="P935" s="310">
        <f t="shared" ca="1" si="424"/>
        <v>23</v>
      </c>
      <c r="Q935" s="304">
        <f t="shared" ca="1" si="425"/>
        <v>0</v>
      </c>
      <c r="R935" s="306">
        <f t="shared" ca="1" si="426"/>
        <v>0</v>
      </c>
      <c r="S935" s="307">
        <f t="shared" ca="1" si="427"/>
        <v>5.6519999999999806</v>
      </c>
      <c r="T935" s="304">
        <f t="shared" ca="1" si="407"/>
        <v>55.446119999999816</v>
      </c>
      <c r="U935" s="311">
        <f t="shared" ca="1" si="408"/>
        <v>0</v>
      </c>
      <c r="V935" s="306">
        <f t="shared" ca="1" si="409"/>
        <v>1.225211911985441</v>
      </c>
      <c r="W935" s="304">
        <f t="shared" ca="1" si="410"/>
        <v>56.078697609897389</v>
      </c>
      <c r="Y935" s="314" t="str">
        <f t="shared" ca="1" si="428"/>
        <v/>
      </c>
      <c r="Z935" s="315" t="str">
        <f t="shared" ca="1" si="429"/>
        <v/>
      </c>
      <c r="AA935" s="316" t="str">
        <f t="shared" ca="1" si="430"/>
        <v/>
      </c>
      <c r="AC935" s="310" t="e">
        <f t="shared" ca="1" si="431"/>
        <v>#N/A</v>
      </c>
      <c r="AD935" s="323" t="e">
        <f t="shared" ca="1" si="432"/>
        <v>#N/A</v>
      </c>
      <c r="AE935" s="324" t="e">
        <f t="shared" ca="1" si="411"/>
        <v>#N/A</v>
      </c>
      <c r="AG935" s="306">
        <f t="shared" ca="1" si="433"/>
        <v>-0.12295753104555374</v>
      </c>
      <c r="AH935" s="304">
        <f t="shared" ca="1" si="434"/>
        <v>-9.9219060088118223</v>
      </c>
    </row>
    <row r="936" spans="1:34" x14ac:dyDescent="0.2">
      <c r="A936" s="347">
        <f t="shared" ca="1" si="412"/>
        <v>1E-4</v>
      </c>
      <c r="B936" s="304">
        <f t="shared" ca="1" si="413"/>
        <v>60.900300000000534</v>
      </c>
      <c r="D936" s="306">
        <f t="shared" ca="1" si="414"/>
        <v>-0.47082813037492427</v>
      </c>
      <c r="E936" s="307">
        <f t="shared" ca="1" si="415"/>
        <v>0.100743545053529</v>
      </c>
      <c r="F936" s="304">
        <f t="shared" ca="1" si="416"/>
        <v>0.48148560749237262</v>
      </c>
      <c r="G936" s="306">
        <f t="shared" ca="1" si="417"/>
        <v>7.8904244815640245</v>
      </c>
      <c r="H936" s="307">
        <f t="shared" ca="1" si="418"/>
        <v>-166.09125567437371</v>
      </c>
      <c r="I936" s="304">
        <f t="shared" ca="1" si="419"/>
        <v>166.27857351441719</v>
      </c>
      <c r="J936" s="306">
        <f t="shared" ca="1" si="420"/>
        <v>1416.7607064577739</v>
      </c>
      <c r="K936" s="307">
        <f t="shared" ca="1" si="421"/>
        <v>-1.7463532710930365</v>
      </c>
      <c r="L936" s="304">
        <f t="shared" ca="1" si="406"/>
        <v>1416.7617827681822</v>
      </c>
      <c r="M936" s="306">
        <f t="shared" ca="1" si="422"/>
        <v>-1.5233254555670628</v>
      </c>
      <c r="N936" s="304">
        <f t="shared" ca="1" si="423"/>
        <v>-87.280119428836116</v>
      </c>
      <c r="P936" s="310">
        <f t="shared" ca="1" si="424"/>
        <v>23</v>
      </c>
      <c r="Q936" s="304">
        <f t="shared" ca="1" si="425"/>
        <v>0</v>
      </c>
      <c r="R936" s="306">
        <f t="shared" ca="1" si="426"/>
        <v>0</v>
      </c>
      <c r="S936" s="307">
        <f t="shared" ca="1" si="427"/>
        <v>5.6519999999999806</v>
      </c>
      <c r="T936" s="304">
        <f t="shared" ca="1" si="407"/>
        <v>55.446119999999816</v>
      </c>
      <c r="U936" s="311">
        <f t="shared" ca="1" si="408"/>
        <v>0</v>
      </c>
      <c r="V936" s="306">
        <f t="shared" ca="1" si="409"/>
        <v>1.2252139469570575</v>
      </c>
      <c r="W936" s="304">
        <f t="shared" ca="1" si="410"/>
        <v>56.078782457108915</v>
      </c>
      <c r="Y936" s="314" t="str">
        <f t="shared" ca="1" si="428"/>
        <v/>
      </c>
      <c r="Z936" s="315" t="str">
        <f t="shared" ca="1" si="429"/>
        <v/>
      </c>
      <c r="AA936" s="316" t="str">
        <f t="shared" ca="1" si="430"/>
        <v/>
      </c>
      <c r="AC936" s="310" t="e">
        <f t="shared" ca="1" si="431"/>
        <v>#N/A</v>
      </c>
      <c r="AD936" s="323" t="e">
        <f t="shared" ca="1" si="432"/>
        <v>#N/A</v>
      </c>
      <c r="AE936" s="324" t="e">
        <f t="shared" ca="1" si="411"/>
        <v>#N/A</v>
      </c>
      <c r="AG936" s="306">
        <f t="shared" ca="1" si="433"/>
        <v>-0.12297241276485238</v>
      </c>
      <c r="AH936" s="304">
        <f t="shared" ca="1" si="434"/>
        <v>-9.9219210208594451</v>
      </c>
    </row>
    <row r="937" spans="1:34" x14ac:dyDescent="0.2">
      <c r="A937" s="347">
        <f t="shared" ca="1" si="412"/>
        <v>1E-4</v>
      </c>
      <c r="B937" s="304">
        <f t="shared" ca="1" si="413"/>
        <v>60.900400000000538</v>
      </c>
      <c r="D937" s="306">
        <f t="shared" ca="1" si="414"/>
        <v>-0.47082606810157374</v>
      </c>
      <c r="E937" s="307">
        <f t="shared" ca="1" si="415"/>
        <v>0.10075867184749043</v>
      </c>
      <c r="F937" s="304">
        <f t="shared" ca="1" si="416"/>
        <v>0.48148675615893943</v>
      </c>
      <c r="G937" s="306">
        <f t="shared" ca="1" si="417"/>
        <v>7.8903773989572148</v>
      </c>
      <c r="H937" s="307">
        <f t="shared" ca="1" si="418"/>
        <v>-166.09124559850653</v>
      </c>
      <c r="I937" s="304">
        <f t="shared" ca="1" si="419"/>
        <v>166.27856121569428</v>
      </c>
      <c r="J937" s="306">
        <f t="shared" ca="1" si="420"/>
        <v>1416.7607064577739</v>
      </c>
      <c r="K937" s="307">
        <f t="shared" ca="1" si="421"/>
        <v>-1.7629623961566805</v>
      </c>
      <c r="L937" s="304">
        <f t="shared" ca="1" si="406"/>
        <v>1416.7618033385645</v>
      </c>
      <c r="M937" s="306">
        <f t="shared" ca="1" si="422"/>
        <v>-1.5233257355276058</v>
      </c>
      <c r="N937" s="304">
        <f t="shared" ca="1" si="423"/>
        <v>-87.280135469393656</v>
      </c>
      <c r="P937" s="310">
        <f t="shared" ca="1" si="424"/>
        <v>23</v>
      </c>
      <c r="Q937" s="304">
        <f t="shared" ca="1" si="425"/>
        <v>0</v>
      </c>
      <c r="R937" s="306">
        <f t="shared" ca="1" si="426"/>
        <v>0</v>
      </c>
      <c r="S937" s="307">
        <f t="shared" ca="1" si="427"/>
        <v>5.6519999999999806</v>
      </c>
      <c r="T937" s="304">
        <f t="shared" ca="1" si="407"/>
        <v>55.446119999999816</v>
      </c>
      <c r="U937" s="311">
        <f t="shared" ca="1" si="408"/>
        <v>0</v>
      </c>
      <c r="V937" s="306">
        <f t="shared" ca="1" si="409"/>
        <v>1.2252159819319308</v>
      </c>
      <c r="W937" s="304">
        <f t="shared" ca="1" si="410"/>
        <v>56.07886730343877</v>
      </c>
      <c r="Y937" s="314" t="str">
        <f t="shared" ca="1" si="428"/>
        <v/>
      </c>
      <c r="Z937" s="315" t="str">
        <f t="shared" ca="1" si="429"/>
        <v/>
      </c>
      <c r="AA937" s="316" t="str">
        <f t="shared" ca="1" si="430"/>
        <v/>
      </c>
      <c r="AC937" s="310" t="e">
        <f t="shared" ca="1" si="431"/>
        <v>#N/A</v>
      </c>
      <c r="AD937" s="323" t="e">
        <f t="shared" ca="1" si="432"/>
        <v>#N/A</v>
      </c>
      <c r="AE937" s="324" t="e">
        <f t="shared" ca="1" si="411"/>
        <v>#N/A</v>
      </c>
      <c r="AG937" s="306">
        <f t="shared" ca="1" si="433"/>
        <v>-0.12298729432969324</v>
      </c>
      <c r="AH937" s="304">
        <f t="shared" ca="1" si="434"/>
        <v>-9.9219360327510806</v>
      </c>
    </row>
    <row r="938" spans="1:34" x14ac:dyDescent="0.2">
      <c r="A938" s="347">
        <f t="shared" ca="1" si="412"/>
        <v>1E-4</v>
      </c>
      <c r="B938" s="304">
        <f t="shared" ca="1" si="413"/>
        <v>60.900500000000541</v>
      </c>
      <c r="D938" s="306">
        <f t="shared" ca="1" si="414"/>
        <v>-0.47082400582853173</v>
      </c>
      <c r="E938" s="307">
        <f t="shared" ca="1" si="415"/>
        <v>0.10077379848449297</v>
      </c>
      <c r="F938" s="304">
        <f t="shared" ca="1" si="416"/>
        <v>0.48148790527428459</v>
      </c>
      <c r="G938" s="306">
        <f t="shared" ca="1" si="417"/>
        <v>7.8903303165566321</v>
      </c>
      <c r="H938" s="307">
        <f t="shared" ca="1" si="418"/>
        <v>-166.09123552112669</v>
      </c>
      <c r="I938" s="304">
        <f t="shared" ca="1" si="419"/>
        <v>166.27854891548321</v>
      </c>
      <c r="J938" s="306">
        <f t="shared" ca="1" si="420"/>
        <v>1416.7607064577739</v>
      </c>
      <c r="K938" s="307">
        <f t="shared" ca="1" si="421"/>
        <v>-1.7795715202126621</v>
      </c>
      <c r="L938" s="304">
        <f t="shared" ca="1" si="406"/>
        <v>1416.7618241036587</v>
      </c>
      <c r="M938" s="306">
        <f t="shared" ca="1" si="422"/>
        <v>-1.5233260154865194</v>
      </c>
      <c r="N938" s="304">
        <f t="shared" ca="1" si="423"/>
        <v>-87.280151509857845</v>
      </c>
      <c r="P938" s="310">
        <f t="shared" ca="1" si="424"/>
        <v>23</v>
      </c>
      <c r="Q938" s="304">
        <f t="shared" ca="1" si="425"/>
        <v>0</v>
      </c>
      <c r="R938" s="306">
        <f t="shared" ca="1" si="426"/>
        <v>0</v>
      </c>
      <c r="S938" s="307">
        <f t="shared" ca="1" si="427"/>
        <v>5.6519999999999806</v>
      </c>
      <c r="T938" s="304">
        <f t="shared" ca="1" si="407"/>
        <v>55.446119999999816</v>
      </c>
      <c r="U938" s="311">
        <f t="shared" ca="1" si="408"/>
        <v>0</v>
      </c>
      <c r="V938" s="306">
        <f t="shared" ca="1" si="409"/>
        <v>1.2252180169100602</v>
      </c>
      <c r="W938" s="304">
        <f t="shared" ca="1" si="410"/>
        <v>56.078952148886934</v>
      </c>
      <c r="Y938" s="314" t="str">
        <f t="shared" ca="1" si="428"/>
        <v/>
      </c>
      <c r="Z938" s="315" t="str">
        <f t="shared" ca="1" si="429"/>
        <v/>
      </c>
      <c r="AA938" s="316" t="str">
        <f t="shared" ca="1" si="430"/>
        <v/>
      </c>
      <c r="AC938" s="310" t="e">
        <f t="shared" ca="1" si="431"/>
        <v>#N/A</v>
      </c>
      <c r="AD938" s="323" t="e">
        <f t="shared" ca="1" si="432"/>
        <v>#N/A</v>
      </c>
      <c r="AE938" s="324" t="e">
        <f t="shared" ca="1" si="411"/>
        <v>#N/A</v>
      </c>
      <c r="AG938" s="306">
        <f t="shared" ca="1" si="433"/>
        <v>-0.12300217574006567</v>
      </c>
      <c r="AH938" s="304">
        <f t="shared" ca="1" si="434"/>
        <v>-9.9219510444867236</v>
      </c>
    </row>
    <row r="939" spans="1:34" x14ac:dyDescent="0.2">
      <c r="A939" s="347">
        <f t="shared" ca="1" si="412"/>
        <v>1E-4</v>
      </c>
      <c r="B939" s="304">
        <f t="shared" ca="1" si="413"/>
        <v>60.900600000000544</v>
      </c>
      <c r="D939" s="306">
        <f t="shared" ca="1" si="414"/>
        <v>-0.47082194355580287</v>
      </c>
      <c r="E939" s="307">
        <f t="shared" ca="1" si="415"/>
        <v>0.10078892496452951</v>
      </c>
      <c r="F939" s="304">
        <f t="shared" ca="1" si="416"/>
        <v>0.48148905483839316</v>
      </c>
      <c r="G939" s="306">
        <f t="shared" ca="1" si="417"/>
        <v>7.8902832343622764</v>
      </c>
      <c r="H939" s="307">
        <f t="shared" ca="1" si="418"/>
        <v>-166.09122544223419</v>
      </c>
      <c r="I939" s="304">
        <f t="shared" ca="1" si="419"/>
        <v>166.27853661378404</v>
      </c>
      <c r="J939" s="306">
        <f t="shared" ca="1" si="420"/>
        <v>1416.7607064577739</v>
      </c>
      <c r="K939" s="307">
        <f t="shared" ca="1" si="421"/>
        <v>-1.79618064326083</v>
      </c>
      <c r="L939" s="304">
        <f t="shared" ca="1" si="406"/>
        <v>1416.7618450634652</v>
      </c>
      <c r="M939" s="306">
        <f t="shared" ca="1" si="422"/>
        <v>-1.523326295443804</v>
      </c>
      <c r="N939" s="304">
        <f t="shared" ca="1" si="423"/>
        <v>-87.280167550228697</v>
      </c>
      <c r="P939" s="310">
        <f t="shared" ca="1" si="424"/>
        <v>23</v>
      </c>
      <c r="Q939" s="304">
        <f t="shared" ca="1" si="425"/>
        <v>0</v>
      </c>
      <c r="R939" s="306">
        <f t="shared" ca="1" si="426"/>
        <v>0</v>
      </c>
      <c r="S939" s="307">
        <f t="shared" ca="1" si="427"/>
        <v>5.6519999999999806</v>
      </c>
      <c r="T939" s="304">
        <f t="shared" ca="1" si="407"/>
        <v>55.446119999999816</v>
      </c>
      <c r="U939" s="311">
        <f t="shared" ca="1" si="408"/>
        <v>0</v>
      </c>
      <c r="V939" s="306">
        <f t="shared" ca="1" si="409"/>
        <v>1.2252200518914471</v>
      </c>
      <c r="W939" s="304">
        <f t="shared" ca="1" si="410"/>
        <v>56.079036993453492</v>
      </c>
      <c r="Y939" s="314" t="str">
        <f t="shared" ca="1" si="428"/>
        <v/>
      </c>
      <c r="Z939" s="315" t="str">
        <f t="shared" ca="1" si="429"/>
        <v/>
      </c>
      <c r="AA939" s="316" t="str">
        <f t="shared" ca="1" si="430"/>
        <v/>
      </c>
      <c r="AC939" s="310" t="e">
        <f t="shared" ca="1" si="431"/>
        <v>#N/A</v>
      </c>
      <c r="AD939" s="323" t="e">
        <f t="shared" ca="1" si="432"/>
        <v>#N/A</v>
      </c>
      <c r="AE939" s="324" t="e">
        <f t="shared" ca="1" si="411"/>
        <v>#N/A</v>
      </c>
      <c r="AG939" s="306">
        <f t="shared" ca="1" si="433"/>
        <v>-0.12301705699596965</v>
      </c>
      <c r="AH939" s="304">
        <f t="shared" ca="1" si="434"/>
        <v>-9.9219660560663705</v>
      </c>
    </row>
    <row r="940" spans="1:34" x14ac:dyDescent="0.2">
      <c r="A940" s="347">
        <f t="shared" ca="1" si="412"/>
        <v>1E-4</v>
      </c>
      <c r="B940" s="304">
        <f t="shared" ca="1" si="413"/>
        <v>60.900700000000548</v>
      </c>
      <c r="D940" s="306">
        <f t="shared" ca="1" si="414"/>
        <v>-0.47081988128338342</v>
      </c>
      <c r="E940" s="307">
        <f t="shared" ca="1" si="415"/>
        <v>0.10080405128761427</v>
      </c>
      <c r="F940" s="304">
        <f t="shared" ca="1" si="416"/>
        <v>0.48149020485124638</v>
      </c>
      <c r="G940" s="306">
        <f t="shared" ca="1" si="417"/>
        <v>7.8902361523741478</v>
      </c>
      <c r="H940" s="307">
        <f t="shared" ca="1" si="418"/>
        <v>-166.09121536182906</v>
      </c>
      <c r="I940" s="304">
        <f t="shared" ca="1" si="419"/>
        <v>166.27852431059674</v>
      </c>
      <c r="J940" s="306">
        <f t="shared" ca="1" si="420"/>
        <v>1416.7607064577739</v>
      </c>
      <c r="K940" s="307">
        <f t="shared" ca="1" si="421"/>
        <v>-1.8127897653010332</v>
      </c>
      <c r="L940" s="304">
        <f t="shared" ca="1" si="406"/>
        <v>1416.7618662179837</v>
      </c>
      <c r="M940" s="306">
        <f t="shared" ca="1" si="422"/>
        <v>-1.5233265753994596</v>
      </c>
      <c r="N940" s="304">
        <f t="shared" ca="1" si="423"/>
        <v>-87.280183590506212</v>
      </c>
      <c r="P940" s="310">
        <f t="shared" ca="1" si="424"/>
        <v>23</v>
      </c>
      <c r="Q940" s="304">
        <f t="shared" ca="1" si="425"/>
        <v>0</v>
      </c>
      <c r="R940" s="306">
        <f t="shared" ca="1" si="426"/>
        <v>0</v>
      </c>
      <c r="S940" s="307">
        <f t="shared" ca="1" si="427"/>
        <v>5.6519999999999806</v>
      </c>
      <c r="T940" s="304">
        <f t="shared" ca="1" si="407"/>
        <v>55.446119999999816</v>
      </c>
      <c r="U940" s="311">
        <f t="shared" ca="1" si="408"/>
        <v>0</v>
      </c>
      <c r="V940" s="306">
        <f t="shared" ca="1" si="409"/>
        <v>1.2252220868760901</v>
      </c>
      <c r="W940" s="304">
        <f t="shared" ca="1" si="410"/>
        <v>56.079121837138345</v>
      </c>
      <c r="Y940" s="314" t="str">
        <f t="shared" ca="1" si="428"/>
        <v/>
      </c>
      <c r="Z940" s="315" t="str">
        <f t="shared" ca="1" si="429"/>
        <v/>
      </c>
      <c r="AA940" s="316" t="str">
        <f t="shared" ca="1" si="430"/>
        <v/>
      </c>
      <c r="AC940" s="310" t="e">
        <f t="shared" ca="1" si="431"/>
        <v>#N/A</v>
      </c>
      <c r="AD940" s="323" t="e">
        <f t="shared" ca="1" si="432"/>
        <v>#N/A</v>
      </c>
      <c r="AE940" s="324" t="e">
        <f t="shared" ca="1" si="411"/>
        <v>#N/A</v>
      </c>
      <c r="AG940" s="306">
        <f t="shared" ca="1" si="433"/>
        <v>-0.12303193809741764</v>
      </c>
      <c r="AH940" s="304">
        <f t="shared" ca="1" si="434"/>
        <v>-9.9219810674900355</v>
      </c>
    </row>
    <row r="941" spans="1:34" x14ac:dyDescent="0.2">
      <c r="A941" s="347">
        <f t="shared" ca="1" si="412"/>
        <v>1E-4</v>
      </c>
      <c r="B941" s="304">
        <f t="shared" ca="1" si="413"/>
        <v>60.900800000000551</v>
      </c>
      <c r="D941" s="306">
        <f t="shared" ca="1" si="414"/>
        <v>-0.47081781901127523</v>
      </c>
      <c r="E941" s="307">
        <f t="shared" ca="1" si="415"/>
        <v>0.10081917745373303</v>
      </c>
      <c r="F941" s="304">
        <f t="shared" ca="1" si="416"/>
        <v>0.48149135531282516</v>
      </c>
      <c r="G941" s="306">
        <f t="shared" ca="1" si="417"/>
        <v>7.8901890705922471</v>
      </c>
      <c r="H941" s="307">
        <f t="shared" ca="1" si="418"/>
        <v>-166.09120527991132</v>
      </c>
      <c r="I941" s="304">
        <f t="shared" ca="1" si="419"/>
        <v>166.27851200592136</v>
      </c>
      <c r="J941" s="306">
        <f t="shared" ca="1" si="420"/>
        <v>1416.7607064577739</v>
      </c>
      <c r="K941" s="307">
        <f t="shared" ca="1" si="421"/>
        <v>-1.8293988863331203</v>
      </c>
      <c r="L941" s="304">
        <f t="shared" ca="1" si="406"/>
        <v>1416.7618875672144</v>
      </c>
      <c r="M941" s="306">
        <f t="shared" ca="1" si="422"/>
        <v>-1.523326855353486</v>
      </c>
      <c r="N941" s="304">
        <f t="shared" ca="1" si="423"/>
        <v>-87.280199630690376</v>
      </c>
      <c r="P941" s="310">
        <f t="shared" ca="1" si="424"/>
        <v>23</v>
      </c>
      <c r="Q941" s="304">
        <f t="shared" ca="1" si="425"/>
        <v>0</v>
      </c>
      <c r="R941" s="306">
        <f t="shared" ca="1" si="426"/>
        <v>0</v>
      </c>
      <c r="S941" s="307">
        <f t="shared" ca="1" si="427"/>
        <v>5.6519999999999806</v>
      </c>
      <c r="T941" s="304">
        <f t="shared" ca="1" si="407"/>
        <v>55.446119999999816</v>
      </c>
      <c r="U941" s="311">
        <f t="shared" ca="1" si="408"/>
        <v>0</v>
      </c>
      <c r="V941" s="306">
        <f t="shared" ca="1" si="409"/>
        <v>1.2252241218639903</v>
      </c>
      <c r="W941" s="304">
        <f t="shared" ca="1" si="410"/>
        <v>56.079206679941606</v>
      </c>
      <c r="Y941" s="314" t="str">
        <f t="shared" ca="1" si="428"/>
        <v/>
      </c>
      <c r="Z941" s="315" t="str">
        <f t="shared" ca="1" si="429"/>
        <v/>
      </c>
      <c r="AA941" s="316" t="str">
        <f t="shared" ca="1" si="430"/>
        <v/>
      </c>
      <c r="AC941" s="310" t="e">
        <f t="shared" ca="1" si="431"/>
        <v>#N/A</v>
      </c>
      <c r="AD941" s="323" t="e">
        <f t="shared" ca="1" si="432"/>
        <v>#N/A</v>
      </c>
      <c r="AE941" s="324" t="e">
        <f t="shared" ca="1" si="411"/>
        <v>#N/A</v>
      </c>
      <c r="AG941" s="306">
        <f t="shared" ca="1" si="433"/>
        <v>-0.12304681904439541</v>
      </c>
      <c r="AH941" s="304">
        <f t="shared" ca="1" si="434"/>
        <v>-9.9219960787577026</v>
      </c>
    </row>
    <row r="942" spans="1:34" x14ac:dyDescent="0.2">
      <c r="A942" s="347">
        <f t="shared" ca="1" si="412"/>
        <v>1E-4</v>
      </c>
      <c r="B942" s="304">
        <f t="shared" ca="1" si="413"/>
        <v>60.900900000000554</v>
      </c>
      <c r="D942" s="306">
        <f t="shared" ca="1" si="414"/>
        <v>-0.47081575673947929</v>
      </c>
      <c r="E942" s="307">
        <f t="shared" ca="1" si="415"/>
        <v>0.10083430346290356</v>
      </c>
      <c r="F942" s="304">
        <f t="shared" ca="1" si="416"/>
        <v>0.48149250622311607</v>
      </c>
      <c r="G942" s="306">
        <f t="shared" ca="1" si="417"/>
        <v>7.8901419890165734</v>
      </c>
      <c r="H942" s="307">
        <f t="shared" ca="1" si="418"/>
        <v>-166.09119519648098</v>
      </c>
      <c r="I942" s="304">
        <f t="shared" ca="1" si="419"/>
        <v>166.2784996997579</v>
      </c>
      <c r="J942" s="306">
        <f t="shared" ca="1" si="420"/>
        <v>1416.7607064577739</v>
      </c>
      <c r="K942" s="307">
        <f t="shared" ca="1" si="421"/>
        <v>-1.84600800635694</v>
      </c>
      <c r="L942" s="304">
        <f t="shared" ca="1" si="406"/>
        <v>1416.7619091111569</v>
      </c>
      <c r="M942" s="306">
        <f t="shared" ca="1" si="422"/>
        <v>-1.5233271353058833</v>
      </c>
      <c r="N942" s="304">
        <f t="shared" ca="1" si="423"/>
        <v>-87.280215670781203</v>
      </c>
      <c r="P942" s="310">
        <f t="shared" ca="1" si="424"/>
        <v>23</v>
      </c>
      <c r="Q942" s="304">
        <f t="shared" ca="1" si="425"/>
        <v>0</v>
      </c>
      <c r="R942" s="306">
        <f t="shared" ca="1" si="426"/>
        <v>0</v>
      </c>
      <c r="S942" s="307">
        <f t="shared" ca="1" si="427"/>
        <v>5.6519999999999806</v>
      </c>
      <c r="T942" s="304">
        <f t="shared" ca="1" si="407"/>
        <v>55.446119999999816</v>
      </c>
      <c r="U942" s="311">
        <f t="shared" ca="1" si="408"/>
        <v>0</v>
      </c>
      <c r="V942" s="306">
        <f t="shared" ca="1" si="409"/>
        <v>1.225226156855147</v>
      </c>
      <c r="W942" s="304">
        <f t="shared" ca="1" si="410"/>
        <v>56.079291521863219</v>
      </c>
      <c r="Y942" s="314" t="str">
        <f t="shared" ca="1" si="428"/>
        <v/>
      </c>
      <c r="Z942" s="315" t="str">
        <f t="shared" ca="1" si="429"/>
        <v/>
      </c>
      <c r="AA942" s="316" t="str">
        <f t="shared" ca="1" si="430"/>
        <v/>
      </c>
      <c r="AC942" s="310" t="e">
        <f t="shared" ca="1" si="431"/>
        <v>#N/A</v>
      </c>
      <c r="AD942" s="323" t="e">
        <f t="shared" ca="1" si="432"/>
        <v>#N/A</v>
      </c>
      <c r="AE942" s="324" t="e">
        <f t="shared" ca="1" si="411"/>
        <v>#N/A</v>
      </c>
      <c r="AG942" s="306">
        <f t="shared" ca="1" si="433"/>
        <v>-0.12306169983691895</v>
      </c>
      <c r="AH942" s="304">
        <f t="shared" ca="1" si="434"/>
        <v>-9.9220110898693914</v>
      </c>
    </row>
    <row r="943" spans="1:34" x14ac:dyDescent="0.2">
      <c r="A943" s="347">
        <f t="shared" ca="1" si="412"/>
        <v>1E-4</v>
      </c>
      <c r="B943" s="304">
        <f t="shared" ca="1" si="413"/>
        <v>60.901000000000558</v>
      </c>
      <c r="D943" s="306">
        <f t="shared" ca="1" si="414"/>
        <v>-0.47081369446799542</v>
      </c>
      <c r="E943" s="307">
        <f t="shared" ca="1" si="415"/>
        <v>0.1008494293151152</v>
      </c>
      <c r="F943" s="304">
        <f t="shared" ca="1" si="416"/>
        <v>0.48149365758209878</v>
      </c>
      <c r="G943" s="306">
        <f t="shared" ca="1" si="417"/>
        <v>7.8900949076471267</v>
      </c>
      <c r="H943" s="307">
        <f t="shared" ca="1" si="418"/>
        <v>-166.09118511153804</v>
      </c>
      <c r="I943" s="304">
        <f t="shared" ca="1" si="419"/>
        <v>166.27848739210637</v>
      </c>
      <c r="J943" s="306">
        <f t="shared" ca="1" si="420"/>
        <v>1416.7607064577739</v>
      </c>
      <c r="K943" s="307">
        <f t="shared" ca="1" si="421"/>
        <v>-1.8626171253723409</v>
      </c>
      <c r="L943" s="304">
        <f t="shared" ca="1" si="406"/>
        <v>1416.7619308498117</v>
      </c>
      <c r="M943" s="306">
        <f t="shared" ca="1" si="422"/>
        <v>-1.5233274152566516</v>
      </c>
      <c r="N943" s="304">
        <f t="shared" ca="1" si="423"/>
        <v>-87.280231710778708</v>
      </c>
      <c r="P943" s="310">
        <f t="shared" ca="1" si="424"/>
        <v>23</v>
      </c>
      <c r="Q943" s="304">
        <f t="shared" ca="1" si="425"/>
        <v>0</v>
      </c>
      <c r="R943" s="306">
        <f t="shared" ca="1" si="426"/>
        <v>0</v>
      </c>
      <c r="S943" s="307">
        <f t="shared" ca="1" si="427"/>
        <v>5.6519999999999806</v>
      </c>
      <c r="T943" s="304">
        <f t="shared" ca="1" si="407"/>
        <v>55.446119999999816</v>
      </c>
      <c r="U943" s="311">
        <f t="shared" ca="1" si="408"/>
        <v>0</v>
      </c>
      <c r="V943" s="306">
        <f t="shared" ca="1" si="409"/>
        <v>1.2252281918495604</v>
      </c>
      <c r="W943" s="304">
        <f t="shared" ca="1" si="410"/>
        <v>56.07937636290319</v>
      </c>
      <c r="Y943" s="314" t="str">
        <f t="shared" ca="1" si="428"/>
        <v/>
      </c>
      <c r="Z943" s="315" t="str">
        <f t="shared" ca="1" si="429"/>
        <v/>
      </c>
      <c r="AA943" s="316" t="str">
        <f t="shared" ca="1" si="430"/>
        <v/>
      </c>
      <c r="AC943" s="310" t="e">
        <f t="shared" ca="1" si="431"/>
        <v>#N/A</v>
      </c>
      <c r="AD943" s="323" t="e">
        <f t="shared" ca="1" si="432"/>
        <v>#N/A</v>
      </c>
      <c r="AE943" s="324" t="e">
        <f t="shared" ca="1" si="411"/>
        <v>#N/A</v>
      </c>
      <c r="AG943" s="306">
        <f t="shared" ca="1" si="433"/>
        <v>-0.12307658047498116</v>
      </c>
      <c r="AH943" s="304">
        <f t="shared" ca="1" si="434"/>
        <v>-9.9220261008250912</v>
      </c>
    </row>
    <row r="944" spans="1:34" x14ac:dyDescent="0.2">
      <c r="A944" s="347">
        <f t="shared" ca="1" si="412"/>
        <v>1E-4</v>
      </c>
      <c r="B944" s="304">
        <f t="shared" ca="1" si="413"/>
        <v>60.901100000000561</v>
      </c>
      <c r="D944" s="306">
        <f t="shared" ca="1" si="414"/>
        <v>-0.47081163219682154</v>
      </c>
      <c r="E944" s="307">
        <f t="shared" ca="1" si="415"/>
        <v>0.10086455501036973</v>
      </c>
      <c r="F944" s="304">
        <f t="shared" ca="1" si="416"/>
        <v>0.48149480938975348</v>
      </c>
      <c r="G944" s="306">
        <f t="shared" ca="1" si="417"/>
        <v>7.8900478264839071</v>
      </c>
      <c r="H944" s="307">
        <f t="shared" ca="1" si="418"/>
        <v>-166.09117502508255</v>
      </c>
      <c r="I944" s="304">
        <f t="shared" ca="1" si="419"/>
        <v>166.27847508296679</v>
      </c>
      <c r="J944" s="306">
        <f t="shared" ca="1" si="420"/>
        <v>1416.7607064577739</v>
      </c>
      <c r="K944" s="307">
        <f t="shared" ca="1" si="421"/>
        <v>-1.879226243379172</v>
      </c>
      <c r="L944" s="304">
        <f t="shared" ca="1" si="406"/>
        <v>1416.7619527831782</v>
      </c>
      <c r="M944" s="306">
        <f t="shared" ca="1" si="422"/>
        <v>-1.5233276952057908</v>
      </c>
      <c r="N944" s="304">
        <f t="shared" ca="1" si="423"/>
        <v>-87.280247750682861</v>
      </c>
      <c r="P944" s="310">
        <f t="shared" ca="1" si="424"/>
        <v>23</v>
      </c>
      <c r="Q944" s="304">
        <f t="shared" ca="1" si="425"/>
        <v>0</v>
      </c>
      <c r="R944" s="306">
        <f t="shared" ca="1" si="426"/>
        <v>0</v>
      </c>
      <c r="S944" s="307">
        <f t="shared" ca="1" si="427"/>
        <v>5.6519999999999806</v>
      </c>
      <c r="T944" s="304">
        <f t="shared" ca="1" si="407"/>
        <v>55.446119999999816</v>
      </c>
      <c r="U944" s="311">
        <f t="shared" ca="1" si="408"/>
        <v>0</v>
      </c>
      <c r="V944" s="306">
        <f t="shared" ca="1" si="409"/>
        <v>1.2252302268472306</v>
      </c>
      <c r="W944" s="304">
        <f t="shared" ca="1" si="410"/>
        <v>56.079461203061534</v>
      </c>
      <c r="Y944" s="314" t="str">
        <f t="shared" ca="1" si="428"/>
        <v/>
      </c>
      <c r="Z944" s="315" t="str">
        <f t="shared" ca="1" si="429"/>
        <v/>
      </c>
      <c r="AA944" s="316" t="str">
        <f t="shared" ca="1" si="430"/>
        <v/>
      </c>
      <c r="AC944" s="310" t="e">
        <f t="shared" ca="1" si="431"/>
        <v>#N/A</v>
      </c>
      <c r="AD944" s="323" t="e">
        <f t="shared" ca="1" si="432"/>
        <v>#N/A</v>
      </c>
      <c r="AE944" s="324" t="e">
        <f t="shared" ca="1" si="411"/>
        <v>#N/A</v>
      </c>
      <c r="AG944" s="306">
        <f t="shared" ca="1" si="433"/>
        <v>-0.12309146095858203</v>
      </c>
      <c r="AH944" s="304">
        <f t="shared" ca="1" si="434"/>
        <v>-9.922041111624802</v>
      </c>
    </row>
    <row r="945" spans="1:34" x14ac:dyDescent="0.2">
      <c r="A945" s="347">
        <f t="shared" ca="1" si="412"/>
        <v>1E-4</v>
      </c>
      <c r="B945" s="304">
        <f t="shared" ca="1" si="413"/>
        <v>60.901200000000564</v>
      </c>
      <c r="D945" s="306">
        <f t="shared" ca="1" si="414"/>
        <v>-0.47080956992596029</v>
      </c>
      <c r="E945" s="307">
        <f t="shared" ca="1" si="415"/>
        <v>0.10087968054867069</v>
      </c>
      <c r="F945" s="304">
        <f t="shared" ca="1" si="416"/>
        <v>0.48149596164606562</v>
      </c>
      <c r="G945" s="306">
        <f t="shared" ca="1" si="417"/>
        <v>7.8900007455269145</v>
      </c>
      <c r="H945" s="307">
        <f t="shared" ca="1" si="418"/>
        <v>-166.09116493711448</v>
      </c>
      <c r="I945" s="304">
        <f t="shared" ca="1" si="419"/>
        <v>166.27846277233917</v>
      </c>
      <c r="J945" s="306">
        <f t="shared" ca="1" si="420"/>
        <v>1416.7607064577739</v>
      </c>
      <c r="K945" s="307">
        <f t="shared" ca="1" si="421"/>
        <v>-1.8958353603772817</v>
      </c>
      <c r="L945" s="304">
        <f t="shared" ca="1" si="406"/>
        <v>1416.7619749112569</v>
      </c>
      <c r="M945" s="306">
        <f t="shared" ca="1" si="422"/>
        <v>-1.5233279751533009</v>
      </c>
      <c r="N945" s="304">
        <f t="shared" ca="1" si="423"/>
        <v>-87.280263790493677</v>
      </c>
      <c r="P945" s="310">
        <f t="shared" ca="1" si="424"/>
        <v>23</v>
      </c>
      <c r="Q945" s="304">
        <f t="shared" ca="1" si="425"/>
        <v>0</v>
      </c>
      <c r="R945" s="306">
        <f t="shared" ca="1" si="426"/>
        <v>0</v>
      </c>
      <c r="S945" s="307">
        <f t="shared" ca="1" si="427"/>
        <v>5.6519999999999806</v>
      </c>
      <c r="T945" s="304">
        <f t="shared" ca="1" si="407"/>
        <v>55.446119999999816</v>
      </c>
      <c r="U945" s="311">
        <f t="shared" ca="1" si="408"/>
        <v>0</v>
      </c>
      <c r="V945" s="306">
        <f t="shared" ca="1" si="409"/>
        <v>1.2252322618481575</v>
      </c>
      <c r="W945" s="304">
        <f t="shared" ca="1" si="410"/>
        <v>56.079546042338258</v>
      </c>
      <c r="Y945" s="314" t="str">
        <f t="shared" ca="1" si="428"/>
        <v/>
      </c>
      <c r="Z945" s="315" t="str">
        <f t="shared" ca="1" si="429"/>
        <v/>
      </c>
      <c r="AA945" s="316" t="str">
        <f t="shared" ca="1" si="430"/>
        <v/>
      </c>
      <c r="AC945" s="310" t="e">
        <f t="shared" ca="1" si="431"/>
        <v>#N/A</v>
      </c>
      <c r="AD945" s="323" t="e">
        <f t="shared" ca="1" si="432"/>
        <v>#N/A</v>
      </c>
      <c r="AE945" s="324" t="e">
        <f t="shared" ca="1" si="411"/>
        <v>#N/A</v>
      </c>
      <c r="AG945" s="306">
        <f t="shared" ca="1" si="433"/>
        <v>-0.12310634128772158</v>
      </c>
      <c r="AH945" s="304">
        <f t="shared" ca="1" si="434"/>
        <v>-9.9220561222685291</v>
      </c>
    </row>
    <row r="946" spans="1:34" x14ac:dyDescent="0.2">
      <c r="A946" s="347">
        <f t="shared" ca="1" si="412"/>
        <v>1E-4</v>
      </c>
      <c r="B946" s="304">
        <f t="shared" ca="1" si="413"/>
        <v>60.901300000000568</v>
      </c>
      <c r="D946" s="306">
        <f t="shared" ca="1" si="414"/>
        <v>-0.47080750765541202</v>
      </c>
      <c r="E946" s="307">
        <f t="shared" ca="1" si="415"/>
        <v>0.10089480593001987</v>
      </c>
      <c r="F946" s="304">
        <f t="shared" ca="1" si="416"/>
        <v>0.48149711435101794</v>
      </c>
      <c r="G946" s="306">
        <f t="shared" ca="1" si="417"/>
        <v>7.889953664776149</v>
      </c>
      <c r="H946" s="307">
        <f t="shared" ca="1" si="418"/>
        <v>-166.0911548476339</v>
      </c>
      <c r="I946" s="304">
        <f t="shared" ca="1" si="419"/>
        <v>166.27845046022355</v>
      </c>
      <c r="J946" s="306">
        <f t="shared" ca="1" si="420"/>
        <v>1416.7607064577739</v>
      </c>
      <c r="K946" s="307">
        <f t="shared" ca="1" si="421"/>
        <v>-1.9124444763665192</v>
      </c>
      <c r="L946" s="304">
        <f t="shared" ca="1" si="406"/>
        <v>1416.7619972340472</v>
      </c>
      <c r="M946" s="306">
        <f t="shared" ca="1" si="422"/>
        <v>-1.523328255099182</v>
      </c>
      <c r="N946" s="304">
        <f t="shared" ca="1" si="423"/>
        <v>-87.280279830211157</v>
      </c>
      <c r="P946" s="310">
        <f t="shared" ca="1" si="424"/>
        <v>23</v>
      </c>
      <c r="Q946" s="304">
        <f t="shared" ca="1" si="425"/>
        <v>0</v>
      </c>
      <c r="R946" s="306">
        <f t="shared" ca="1" si="426"/>
        <v>0</v>
      </c>
      <c r="S946" s="307">
        <f t="shared" ca="1" si="427"/>
        <v>5.6519999999999806</v>
      </c>
      <c r="T946" s="304">
        <f t="shared" ca="1" si="407"/>
        <v>55.446119999999816</v>
      </c>
      <c r="U946" s="311">
        <f t="shared" ca="1" si="408"/>
        <v>0</v>
      </c>
      <c r="V946" s="306">
        <f t="shared" ca="1" si="409"/>
        <v>1.2252342968523411</v>
      </c>
      <c r="W946" s="304">
        <f t="shared" ca="1" si="410"/>
        <v>56.079630880733369</v>
      </c>
      <c r="Y946" s="314" t="str">
        <f t="shared" ca="1" si="428"/>
        <v/>
      </c>
      <c r="Z946" s="315" t="str">
        <f t="shared" ca="1" si="429"/>
        <v/>
      </c>
      <c r="AA946" s="316" t="str">
        <f t="shared" ca="1" si="430"/>
        <v/>
      </c>
      <c r="AC946" s="310" t="e">
        <f t="shared" ca="1" si="431"/>
        <v>#N/A</v>
      </c>
      <c r="AD946" s="323" t="e">
        <f t="shared" ca="1" si="432"/>
        <v>#N/A</v>
      </c>
      <c r="AE946" s="324" t="e">
        <f t="shared" ca="1" si="411"/>
        <v>#N/A</v>
      </c>
      <c r="AG946" s="306">
        <f t="shared" ca="1" si="433"/>
        <v>-0.12312122146240512</v>
      </c>
      <c r="AH946" s="304">
        <f t="shared" ca="1" si="434"/>
        <v>-9.9220711327562725</v>
      </c>
    </row>
    <row r="947" spans="1:34" x14ac:dyDescent="0.2">
      <c r="A947" s="347">
        <f t="shared" ca="1" si="412"/>
        <v>1E-4</v>
      </c>
      <c r="B947" s="304">
        <f t="shared" ca="1" si="413"/>
        <v>60.901400000000571</v>
      </c>
      <c r="D947" s="306">
        <f t="shared" ca="1" si="414"/>
        <v>-0.47080544538517455</v>
      </c>
      <c r="E947" s="307">
        <f t="shared" ca="1" si="415"/>
        <v>0.10090993115441371</v>
      </c>
      <c r="F947" s="304">
        <f t="shared" ca="1" si="416"/>
        <v>0.48149826750458935</v>
      </c>
      <c r="G947" s="306">
        <f t="shared" ca="1" si="417"/>
        <v>7.8899065842316105</v>
      </c>
      <c r="H947" s="307">
        <f t="shared" ca="1" si="418"/>
        <v>-166.09114475664077</v>
      </c>
      <c r="I947" s="304">
        <f t="shared" ca="1" si="419"/>
        <v>166.27843814661989</v>
      </c>
      <c r="J947" s="306">
        <f t="shared" ca="1" si="420"/>
        <v>1416.7607064577739</v>
      </c>
      <c r="K947" s="307">
        <f t="shared" ca="1" si="421"/>
        <v>-1.9290535913467328</v>
      </c>
      <c r="L947" s="304">
        <f t="shared" ca="1" si="406"/>
        <v>1416.7620197515491</v>
      </c>
      <c r="M947" s="306">
        <f t="shared" ca="1" si="422"/>
        <v>-1.5233285350434342</v>
      </c>
      <c r="N947" s="304">
        <f t="shared" ca="1" si="423"/>
        <v>-87.280295869835314</v>
      </c>
      <c r="P947" s="310">
        <f t="shared" ca="1" si="424"/>
        <v>23</v>
      </c>
      <c r="Q947" s="304">
        <f t="shared" ca="1" si="425"/>
        <v>0</v>
      </c>
      <c r="R947" s="306">
        <f t="shared" ca="1" si="426"/>
        <v>0</v>
      </c>
      <c r="S947" s="307">
        <f t="shared" ca="1" si="427"/>
        <v>5.6519999999999806</v>
      </c>
      <c r="T947" s="304">
        <f t="shared" ca="1" si="407"/>
        <v>55.446119999999816</v>
      </c>
      <c r="U947" s="311">
        <f t="shared" ca="1" si="408"/>
        <v>0</v>
      </c>
      <c r="V947" s="306">
        <f t="shared" ca="1" si="409"/>
        <v>1.225236331859781</v>
      </c>
      <c r="W947" s="304">
        <f t="shared" ca="1" si="410"/>
        <v>56.079715718246831</v>
      </c>
      <c r="Y947" s="314" t="str">
        <f t="shared" ca="1" si="428"/>
        <v/>
      </c>
      <c r="Z947" s="315" t="str">
        <f t="shared" ca="1" si="429"/>
        <v/>
      </c>
      <c r="AA947" s="316" t="str">
        <f t="shared" ca="1" si="430"/>
        <v/>
      </c>
      <c r="AC947" s="310" t="e">
        <f t="shared" ca="1" si="431"/>
        <v>#N/A</v>
      </c>
      <c r="AD947" s="323" t="e">
        <f t="shared" ca="1" si="432"/>
        <v>#N/A</v>
      </c>
      <c r="AE947" s="324" t="e">
        <f t="shared" ca="1" si="411"/>
        <v>#N/A</v>
      </c>
      <c r="AG947" s="306">
        <f t="shared" ca="1" si="433"/>
        <v>-0.12313610148263443</v>
      </c>
      <c r="AH947" s="304">
        <f t="shared" ca="1" si="434"/>
        <v>-9.9220861430880323</v>
      </c>
    </row>
    <row r="948" spans="1:34" x14ac:dyDescent="0.2">
      <c r="A948" s="347">
        <f t="shared" ca="1" si="412"/>
        <v>1E-4</v>
      </c>
      <c r="B948" s="304">
        <f t="shared" ca="1" si="413"/>
        <v>60.901500000000574</v>
      </c>
      <c r="D948" s="306">
        <f t="shared" ca="1" si="414"/>
        <v>-0.470803383115248</v>
      </c>
      <c r="E948" s="307">
        <f t="shared" ca="1" si="415"/>
        <v>0.10092505622185399</v>
      </c>
      <c r="F948" s="304">
        <f t="shared" ca="1" si="416"/>
        <v>0.48149942110676247</v>
      </c>
      <c r="G948" s="306">
        <f t="shared" ca="1" si="417"/>
        <v>7.889859503893299</v>
      </c>
      <c r="H948" s="307">
        <f t="shared" ca="1" si="418"/>
        <v>-166.09113466413515</v>
      </c>
      <c r="I948" s="304">
        <f t="shared" ca="1" si="419"/>
        <v>166.2784258315283</v>
      </c>
      <c r="J948" s="306">
        <f t="shared" ca="1" si="420"/>
        <v>1416.7607064577739</v>
      </c>
      <c r="K948" s="307">
        <f t="shared" ca="1" si="421"/>
        <v>-1.9456627053177715</v>
      </c>
      <c r="L948" s="304">
        <f t="shared" ca="1" si="406"/>
        <v>1416.762042463763</v>
      </c>
      <c r="M948" s="306">
        <f t="shared" ca="1" si="422"/>
        <v>-1.5233288149860573</v>
      </c>
      <c r="N948" s="304">
        <f t="shared" ca="1" si="423"/>
        <v>-87.280311909366119</v>
      </c>
      <c r="P948" s="310">
        <f t="shared" ca="1" si="424"/>
        <v>23</v>
      </c>
      <c r="Q948" s="304">
        <f t="shared" ca="1" si="425"/>
        <v>0</v>
      </c>
      <c r="R948" s="306">
        <f t="shared" ca="1" si="426"/>
        <v>0</v>
      </c>
      <c r="S948" s="307">
        <f t="shared" ca="1" si="427"/>
        <v>5.6519999999999806</v>
      </c>
      <c r="T948" s="304">
        <f t="shared" ca="1" si="407"/>
        <v>55.446119999999816</v>
      </c>
      <c r="U948" s="311">
        <f t="shared" ca="1" si="408"/>
        <v>0</v>
      </c>
      <c r="V948" s="306">
        <f t="shared" ca="1" si="409"/>
        <v>1.225238366870478</v>
      </c>
      <c r="W948" s="304">
        <f t="shared" ca="1" si="410"/>
        <v>56.079800554878751</v>
      </c>
      <c r="Y948" s="314" t="str">
        <f t="shared" ca="1" si="428"/>
        <v/>
      </c>
      <c r="Z948" s="315" t="str">
        <f t="shared" ca="1" si="429"/>
        <v/>
      </c>
      <c r="AA948" s="316" t="str">
        <f t="shared" ca="1" si="430"/>
        <v/>
      </c>
      <c r="AC948" s="310" t="e">
        <f t="shared" ca="1" si="431"/>
        <v>#N/A</v>
      </c>
      <c r="AD948" s="323" t="e">
        <f t="shared" ca="1" si="432"/>
        <v>#N/A</v>
      </c>
      <c r="AE948" s="324" t="e">
        <f t="shared" ca="1" si="411"/>
        <v>#N/A</v>
      </c>
      <c r="AG948" s="306">
        <f t="shared" ca="1" si="433"/>
        <v>-0.12315098134840063</v>
      </c>
      <c r="AH948" s="304">
        <f t="shared" ca="1" si="434"/>
        <v>-9.9221011532638048</v>
      </c>
    </row>
    <row r="949" spans="1:34" x14ac:dyDescent="0.2">
      <c r="A949" s="347">
        <f t="shared" ca="1" si="412"/>
        <v>1E-4</v>
      </c>
      <c r="B949" s="304">
        <f t="shared" ca="1" si="413"/>
        <v>60.901600000000577</v>
      </c>
      <c r="D949" s="306">
        <f t="shared" ca="1" si="414"/>
        <v>-0.47080132084563553</v>
      </c>
      <c r="E949" s="307">
        <f t="shared" ca="1" si="415"/>
        <v>0.10094018113235137</v>
      </c>
      <c r="F949" s="304">
        <f t="shared" ca="1" si="416"/>
        <v>0.48150057515752459</v>
      </c>
      <c r="G949" s="306">
        <f t="shared" ca="1" si="417"/>
        <v>7.8898124237612146</v>
      </c>
      <c r="H949" s="307">
        <f t="shared" ca="1" si="418"/>
        <v>-166.09112457011705</v>
      </c>
      <c r="I949" s="304">
        <f t="shared" ca="1" si="419"/>
        <v>166.27841351494871</v>
      </c>
      <c r="J949" s="306">
        <f t="shared" ca="1" si="420"/>
        <v>1416.7607064577739</v>
      </c>
      <c r="K949" s="307">
        <f t="shared" ca="1" si="421"/>
        <v>-1.962271818279484</v>
      </c>
      <c r="L949" s="304">
        <f t="shared" ca="1" si="406"/>
        <v>1416.7620653706886</v>
      </c>
      <c r="M949" s="306">
        <f t="shared" ca="1" si="422"/>
        <v>-1.5233290949270515</v>
      </c>
      <c r="N949" s="304">
        <f t="shared" ca="1" si="423"/>
        <v>-87.280327948803588</v>
      </c>
      <c r="P949" s="310">
        <f t="shared" ca="1" si="424"/>
        <v>23</v>
      </c>
      <c r="Q949" s="304">
        <f t="shared" ca="1" si="425"/>
        <v>0</v>
      </c>
      <c r="R949" s="306">
        <f t="shared" ca="1" si="426"/>
        <v>0</v>
      </c>
      <c r="S949" s="307">
        <f t="shared" ca="1" si="427"/>
        <v>5.6519999999999806</v>
      </c>
      <c r="T949" s="304">
        <f t="shared" ca="1" si="407"/>
        <v>55.446119999999816</v>
      </c>
      <c r="U949" s="311">
        <f t="shared" ca="1" si="408"/>
        <v>0</v>
      </c>
      <c r="V949" s="306">
        <f t="shared" ca="1" si="409"/>
        <v>1.2252404018844316</v>
      </c>
      <c r="W949" s="304">
        <f t="shared" ca="1" si="410"/>
        <v>56.079885390629038</v>
      </c>
      <c r="Y949" s="314" t="str">
        <f t="shared" ca="1" si="428"/>
        <v/>
      </c>
      <c r="Z949" s="315" t="str">
        <f t="shared" ca="1" si="429"/>
        <v/>
      </c>
      <c r="AA949" s="316" t="str">
        <f t="shared" ca="1" si="430"/>
        <v/>
      </c>
      <c r="AC949" s="310" t="e">
        <f t="shared" ca="1" si="431"/>
        <v>#N/A</v>
      </c>
      <c r="AD949" s="323" t="e">
        <f t="shared" ca="1" si="432"/>
        <v>#N/A</v>
      </c>
      <c r="AE949" s="324" t="e">
        <f t="shared" ca="1" si="411"/>
        <v>#N/A</v>
      </c>
      <c r="AG949" s="306">
        <f t="shared" ca="1" si="433"/>
        <v>-0.12316586105972149</v>
      </c>
      <c r="AH949" s="304">
        <f t="shared" ca="1" si="434"/>
        <v>-9.9221161632836061</v>
      </c>
    </row>
    <row r="950" spans="1:34" x14ac:dyDescent="0.2">
      <c r="A950" s="347">
        <f t="shared" ca="1" si="412"/>
        <v>1E-4</v>
      </c>
      <c r="B950" s="304">
        <f t="shared" ca="1" si="413"/>
        <v>60.901700000000581</v>
      </c>
      <c r="D950" s="306">
        <f t="shared" ca="1" si="414"/>
        <v>-0.47079925857633448</v>
      </c>
      <c r="E950" s="307">
        <f t="shared" ca="1" si="415"/>
        <v>0.10095530588589696</v>
      </c>
      <c r="F950" s="304">
        <f t="shared" ca="1" si="416"/>
        <v>0.48150172965685312</v>
      </c>
      <c r="G950" s="306">
        <f t="shared" ca="1" si="417"/>
        <v>7.8897653438353572</v>
      </c>
      <c r="H950" s="307">
        <f t="shared" ca="1" si="418"/>
        <v>-166.09111447458645</v>
      </c>
      <c r="I950" s="304">
        <f t="shared" ca="1" si="419"/>
        <v>166.27840119688113</v>
      </c>
      <c r="J950" s="306">
        <f t="shared" ca="1" si="420"/>
        <v>1416.7607064577739</v>
      </c>
      <c r="K950" s="307">
        <f t="shared" ca="1" si="421"/>
        <v>-1.9788809302317192</v>
      </c>
      <c r="L950" s="304">
        <f t="shared" ca="1" si="406"/>
        <v>1416.762088472326</v>
      </c>
      <c r="M950" s="306">
        <f t="shared" ca="1" si="422"/>
        <v>-1.5233293748664167</v>
      </c>
      <c r="N950" s="304">
        <f t="shared" ca="1" si="423"/>
        <v>-87.280343988147735</v>
      </c>
      <c r="P950" s="310">
        <f t="shared" ca="1" si="424"/>
        <v>23</v>
      </c>
      <c r="Q950" s="304">
        <f t="shared" ca="1" si="425"/>
        <v>0</v>
      </c>
      <c r="R950" s="306">
        <f t="shared" ca="1" si="426"/>
        <v>0</v>
      </c>
      <c r="S950" s="307">
        <f t="shared" ca="1" si="427"/>
        <v>5.6519999999999806</v>
      </c>
      <c r="T950" s="304">
        <f t="shared" ca="1" si="407"/>
        <v>55.446119999999816</v>
      </c>
      <c r="U950" s="311">
        <f t="shared" ca="1" si="408"/>
        <v>0</v>
      </c>
      <c r="V950" s="306">
        <f t="shared" ca="1" si="409"/>
        <v>1.2252424369016413</v>
      </c>
      <c r="W950" s="304">
        <f t="shared" ca="1" si="410"/>
        <v>56.079970225497682</v>
      </c>
      <c r="Y950" s="314" t="str">
        <f t="shared" ca="1" si="428"/>
        <v/>
      </c>
      <c r="Z950" s="315" t="str">
        <f t="shared" ca="1" si="429"/>
        <v/>
      </c>
      <c r="AA950" s="316" t="str">
        <f t="shared" ca="1" si="430"/>
        <v/>
      </c>
      <c r="AC950" s="310" t="e">
        <f t="shared" ca="1" si="431"/>
        <v>#N/A</v>
      </c>
      <c r="AD950" s="323" t="e">
        <f t="shared" ca="1" si="432"/>
        <v>#N/A</v>
      </c>
      <c r="AE950" s="324" t="e">
        <f t="shared" ca="1" si="411"/>
        <v>#N/A</v>
      </c>
      <c r="AG950" s="306">
        <f t="shared" ca="1" si="433"/>
        <v>-0.1231807406165828</v>
      </c>
      <c r="AH950" s="304">
        <f t="shared" ca="1" si="434"/>
        <v>-9.922131173147422</v>
      </c>
    </row>
    <row r="951" spans="1:34" x14ac:dyDescent="0.2">
      <c r="A951" s="347">
        <f t="shared" ca="1" si="412"/>
        <v>1E-4</v>
      </c>
      <c r="B951" s="304">
        <f t="shared" ca="1" si="413"/>
        <v>60.901800000000584</v>
      </c>
      <c r="D951" s="306">
        <f t="shared" ca="1" si="414"/>
        <v>-0.47079719630734496</v>
      </c>
      <c r="E951" s="307">
        <f t="shared" ca="1" si="415"/>
        <v>0.10097043048248366</v>
      </c>
      <c r="F951" s="304">
        <f t="shared" ca="1" si="416"/>
        <v>0.48150288460472879</v>
      </c>
      <c r="G951" s="306">
        <f t="shared" ca="1" si="417"/>
        <v>7.8897182641157269</v>
      </c>
      <c r="H951" s="307">
        <f t="shared" ca="1" si="418"/>
        <v>-166.09110437754339</v>
      </c>
      <c r="I951" s="304">
        <f t="shared" ca="1" si="419"/>
        <v>166.27838887732565</v>
      </c>
      <c r="J951" s="306">
        <f t="shared" ca="1" si="420"/>
        <v>1416.7607064577739</v>
      </c>
      <c r="K951" s="307">
        <f t="shared" ca="1" si="421"/>
        <v>-1.9954900411743257</v>
      </c>
      <c r="L951" s="304">
        <f t="shared" ca="1" si="406"/>
        <v>1416.7621117686749</v>
      </c>
      <c r="M951" s="306">
        <f t="shared" ca="1" si="422"/>
        <v>-1.5233296548041528</v>
      </c>
      <c r="N951" s="304">
        <f t="shared" ca="1" si="423"/>
        <v>-87.280360027398544</v>
      </c>
      <c r="P951" s="310">
        <f t="shared" ca="1" si="424"/>
        <v>23</v>
      </c>
      <c r="Q951" s="304">
        <f t="shared" ca="1" si="425"/>
        <v>0</v>
      </c>
      <c r="R951" s="306">
        <f t="shared" ca="1" si="426"/>
        <v>0</v>
      </c>
      <c r="S951" s="307">
        <f t="shared" ca="1" si="427"/>
        <v>5.6519999999999806</v>
      </c>
      <c r="T951" s="304">
        <f t="shared" ca="1" si="407"/>
        <v>55.446119999999816</v>
      </c>
      <c r="U951" s="311">
        <f t="shared" ca="1" si="408"/>
        <v>0</v>
      </c>
      <c r="V951" s="306">
        <f t="shared" ca="1" si="409"/>
        <v>1.2252444719221085</v>
      </c>
      <c r="W951" s="304">
        <f t="shared" ca="1" si="410"/>
        <v>56.080055059484827</v>
      </c>
      <c r="Y951" s="314" t="str">
        <f t="shared" ca="1" si="428"/>
        <v/>
      </c>
      <c r="Z951" s="315" t="str">
        <f t="shared" ca="1" si="429"/>
        <v/>
      </c>
      <c r="AA951" s="316" t="str">
        <f t="shared" ca="1" si="430"/>
        <v/>
      </c>
      <c r="AC951" s="310" t="e">
        <f t="shared" ca="1" si="431"/>
        <v>#N/A</v>
      </c>
      <c r="AD951" s="323" t="e">
        <f t="shared" ca="1" si="432"/>
        <v>#N/A</v>
      </c>
      <c r="AE951" s="324" t="e">
        <f t="shared" ca="1" si="411"/>
        <v>#N/A</v>
      </c>
      <c r="AG951" s="306">
        <f t="shared" ca="1" si="433"/>
        <v>-0.12319562001898277</v>
      </c>
      <c r="AH951" s="304">
        <f t="shared" ca="1" si="434"/>
        <v>-9.9221461828552506</v>
      </c>
    </row>
    <row r="952" spans="1:34" x14ac:dyDescent="0.2">
      <c r="A952" s="347">
        <f t="shared" ca="1" si="412"/>
        <v>1E-4</v>
      </c>
      <c r="B952" s="304">
        <f t="shared" ca="1" si="413"/>
        <v>60.901900000000587</v>
      </c>
      <c r="D952" s="306">
        <f t="shared" ca="1" si="414"/>
        <v>-0.47079513403867057</v>
      </c>
      <c r="E952" s="307">
        <f t="shared" ca="1" si="415"/>
        <v>0.1009855549221399</v>
      </c>
      <c r="F952" s="304">
        <f t="shared" ca="1" si="416"/>
        <v>0.481504040001143</v>
      </c>
      <c r="G952" s="306">
        <f t="shared" ca="1" si="417"/>
        <v>7.8896711846023226</v>
      </c>
      <c r="H952" s="307">
        <f t="shared" ca="1" si="418"/>
        <v>-166.0910942789879</v>
      </c>
      <c r="I952" s="304">
        <f t="shared" ca="1" si="419"/>
        <v>166.27837655628224</v>
      </c>
      <c r="J952" s="306">
        <f t="shared" ca="1" si="420"/>
        <v>1416.7607064577739</v>
      </c>
      <c r="K952" s="307">
        <f t="shared" ca="1" si="421"/>
        <v>-2.0120991511071522</v>
      </c>
      <c r="L952" s="304">
        <f t="shared" ca="1" si="406"/>
        <v>1416.7621352597353</v>
      </c>
      <c r="M952" s="306">
        <f t="shared" ca="1" si="422"/>
        <v>-1.52332993474026</v>
      </c>
      <c r="N952" s="304">
        <f t="shared" ca="1" si="423"/>
        <v>-87.280376066556016</v>
      </c>
      <c r="P952" s="310">
        <f t="shared" ca="1" si="424"/>
        <v>23</v>
      </c>
      <c r="Q952" s="304">
        <f t="shared" ca="1" si="425"/>
        <v>0</v>
      </c>
      <c r="R952" s="306">
        <f t="shared" ca="1" si="426"/>
        <v>0</v>
      </c>
      <c r="S952" s="307">
        <f t="shared" ca="1" si="427"/>
        <v>5.6519999999999806</v>
      </c>
      <c r="T952" s="304">
        <f t="shared" ca="1" si="407"/>
        <v>55.446119999999816</v>
      </c>
      <c r="U952" s="311">
        <f t="shared" ca="1" si="408"/>
        <v>0</v>
      </c>
      <c r="V952" s="306">
        <f t="shared" ca="1" si="409"/>
        <v>1.2252465069458314</v>
      </c>
      <c r="W952" s="304">
        <f t="shared" ca="1" si="410"/>
        <v>56.08013989259031</v>
      </c>
      <c r="Y952" s="314" t="str">
        <f t="shared" ca="1" si="428"/>
        <v/>
      </c>
      <c r="Z952" s="315" t="str">
        <f t="shared" ca="1" si="429"/>
        <v/>
      </c>
      <c r="AA952" s="316" t="str">
        <f t="shared" ca="1" si="430"/>
        <v/>
      </c>
      <c r="AC952" s="310" t="e">
        <f t="shared" ca="1" si="431"/>
        <v>#N/A</v>
      </c>
      <c r="AD952" s="323" t="e">
        <f t="shared" ca="1" si="432"/>
        <v>#N/A</v>
      </c>
      <c r="AE952" s="324" t="e">
        <f t="shared" ca="1" si="411"/>
        <v>#N/A</v>
      </c>
      <c r="AG952" s="306">
        <f t="shared" ca="1" si="433"/>
        <v>-0.12321049926694805</v>
      </c>
      <c r="AH952" s="304">
        <f t="shared" ca="1" si="434"/>
        <v>-9.9221611924071169</v>
      </c>
    </row>
    <row r="953" spans="1:34" x14ac:dyDescent="0.2">
      <c r="A953" s="347">
        <f t="shared" ca="1" si="412"/>
        <v>1E-4</v>
      </c>
      <c r="B953" s="304">
        <f t="shared" ca="1" si="413"/>
        <v>60.902000000000591</v>
      </c>
      <c r="D953" s="306">
        <f t="shared" ca="1" si="414"/>
        <v>-0.47079307177030782</v>
      </c>
      <c r="E953" s="307">
        <f t="shared" ca="1" si="415"/>
        <v>0.10100067920483369</v>
      </c>
      <c r="F953" s="304">
        <f t="shared" ca="1" si="416"/>
        <v>0.48150519584606766</v>
      </c>
      <c r="G953" s="306">
        <f t="shared" ca="1" si="417"/>
        <v>7.8896241052951455</v>
      </c>
      <c r="H953" s="307">
        <f t="shared" ca="1" si="418"/>
        <v>-166.09108417891997</v>
      </c>
      <c r="I953" s="304">
        <f t="shared" ca="1" si="419"/>
        <v>166.27836423375092</v>
      </c>
      <c r="J953" s="306">
        <f t="shared" ca="1" si="420"/>
        <v>1416.7607064577739</v>
      </c>
      <c r="K953" s="307">
        <f t="shared" ca="1" si="421"/>
        <v>-2.0287082600300477</v>
      </c>
      <c r="L953" s="304">
        <f t="shared" ca="1" si="406"/>
        <v>1416.7621589455073</v>
      </c>
      <c r="M953" s="306">
        <f t="shared" ca="1" si="422"/>
        <v>-1.5233302146747383</v>
      </c>
      <c r="N953" s="304">
        <f t="shared" ca="1" si="423"/>
        <v>-87.280392105620166</v>
      </c>
      <c r="P953" s="310">
        <f t="shared" ca="1" si="424"/>
        <v>23</v>
      </c>
      <c r="Q953" s="304">
        <f t="shared" ca="1" si="425"/>
        <v>0</v>
      </c>
      <c r="R953" s="306">
        <f t="shared" ca="1" si="426"/>
        <v>0</v>
      </c>
      <c r="S953" s="307">
        <f t="shared" ca="1" si="427"/>
        <v>5.6519999999999806</v>
      </c>
      <c r="T953" s="304">
        <f t="shared" ca="1" si="407"/>
        <v>55.446119999999816</v>
      </c>
      <c r="U953" s="311">
        <f t="shared" ca="1" si="408"/>
        <v>0</v>
      </c>
      <c r="V953" s="306">
        <f t="shared" ca="1" si="409"/>
        <v>1.2252485419728114</v>
      </c>
      <c r="W953" s="304">
        <f t="shared" ca="1" si="410"/>
        <v>56.080224724814244</v>
      </c>
      <c r="Y953" s="314" t="str">
        <f t="shared" ca="1" si="428"/>
        <v/>
      </c>
      <c r="Z953" s="315" t="str">
        <f t="shared" ca="1" si="429"/>
        <v/>
      </c>
      <c r="AA953" s="316" t="str">
        <f t="shared" ca="1" si="430"/>
        <v/>
      </c>
      <c r="AC953" s="310" t="e">
        <f t="shared" ca="1" si="431"/>
        <v>#N/A</v>
      </c>
      <c r="AD953" s="323" t="e">
        <f t="shared" ca="1" si="432"/>
        <v>#N/A</v>
      </c>
      <c r="AE953" s="324" t="e">
        <f t="shared" ca="1" si="411"/>
        <v>#N/A</v>
      </c>
      <c r="AG953" s="306">
        <f t="shared" ca="1" si="433"/>
        <v>-0.12322537836044489</v>
      </c>
      <c r="AH953" s="304">
        <f t="shared" ca="1" si="434"/>
        <v>-9.9221762018029906</v>
      </c>
    </row>
    <row r="954" spans="1:34" x14ac:dyDescent="0.2">
      <c r="A954" s="347">
        <f t="shared" ca="1" si="412"/>
        <v>1E-4</v>
      </c>
      <c r="B954" s="304">
        <f t="shared" ca="1" si="413"/>
        <v>60.902100000000594</v>
      </c>
      <c r="D954" s="306">
        <f t="shared" ca="1" si="414"/>
        <v>-0.47079100950225805</v>
      </c>
      <c r="E954" s="307">
        <f t="shared" ca="1" si="415"/>
        <v>0.10101580333058813</v>
      </c>
      <c r="F954" s="304">
        <f t="shared" ca="1" si="416"/>
        <v>0.48150635213949078</v>
      </c>
      <c r="G954" s="306">
        <f t="shared" ca="1" si="417"/>
        <v>7.8895770261941953</v>
      </c>
      <c r="H954" s="307">
        <f t="shared" ca="1" si="418"/>
        <v>-166.09107407733964</v>
      </c>
      <c r="I954" s="304">
        <f t="shared" ca="1" si="419"/>
        <v>166.2783519097317</v>
      </c>
      <c r="J954" s="306">
        <f t="shared" ca="1" si="420"/>
        <v>1416.7607064577739</v>
      </c>
      <c r="K954" s="307">
        <f t="shared" ca="1" si="421"/>
        <v>-2.0453173679428605</v>
      </c>
      <c r="L954" s="304">
        <f t="shared" ca="1" si="406"/>
        <v>1416.762182825991</v>
      </c>
      <c r="M954" s="306">
        <f t="shared" ca="1" si="422"/>
        <v>-1.5233304946075876</v>
      </c>
      <c r="N954" s="304">
        <f t="shared" ca="1" si="423"/>
        <v>-87.280408144590979</v>
      </c>
      <c r="P954" s="310">
        <f t="shared" ca="1" si="424"/>
        <v>23</v>
      </c>
      <c r="Q954" s="304">
        <f t="shared" ca="1" si="425"/>
        <v>0</v>
      </c>
      <c r="R954" s="306">
        <f t="shared" ca="1" si="426"/>
        <v>0</v>
      </c>
      <c r="S954" s="307">
        <f t="shared" ca="1" si="427"/>
        <v>5.6519999999999806</v>
      </c>
      <c r="T954" s="304">
        <f t="shared" ca="1" si="407"/>
        <v>55.446119999999816</v>
      </c>
      <c r="U954" s="311">
        <f t="shared" ca="1" si="408"/>
        <v>0</v>
      </c>
      <c r="V954" s="306">
        <f t="shared" ca="1" si="409"/>
        <v>1.2252505770030477</v>
      </c>
      <c r="W954" s="304">
        <f t="shared" ca="1" si="410"/>
        <v>56.080309556156578</v>
      </c>
      <c r="Y954" s="314" t="str">
        <f t="shared" ca="1" si="428"/>
        <v/>
      </c>
      <c r="Z954" s="315" t="str">
        <f t="shared" ca="1" si="429"/>
        <v/>
      </c>
      <c r="AA954" s="316" t="str">
        <f t="shared" ca="1" si="430"/>
        <v/>
      </c>
      <c r="AC954" s="310" t="e">
        <f t="shared" ca="1" si="431"/>
        <v>#N/A</v>
      </c>
      <c r="AD954" s="323" t="e">
        <f t="shared" ca="1" si="432"/>
        <v>#N/A</v>
      </c>
      <c r="AE954" s="324" t="e">
        <f t="shared" ca="1" si="411"/>
        <v>#N/A</v>
      </c>
      <c r="AG954" s="306">
        <f t="shared" ca="1" si="433"/>
        <v>-0.12324025729949817</v>
      </c>
      <c r="AH954" s="304">
        <f t="shared" ca="1" si="434"/>
        <v>-9.9221912110428931</v>
      </c>
    </row>
    <row r="955" spans="1:34" x14ac:dyDescent="0.2">
      <c r="A955" s="347">
        <f t="shared" ca="1" si="412"/>
        <v>1E-4</v>
      </c>
      <c r="B955" s="304">
        <f t="shared" ca="1" si="413"/>
        <v>60.902200000000597</v>
      </c>
      <c r="D955" s="306">
        <f t="shared" ca="1" si="414"/>
        <v>-0.47078894723452097</v>
      </c>
      <c r="E955" s="307">
        <f t="shared" ca="1" si="415"/>
        <v>0.10103092729939434</v>
      </c>
      <c r="F955" s="304">
        <f t="shared" ca="1" si="416"/>
        <v>0.48150750888139227</v>
      </c>
      <c r="G955" s="306">
        <f t="shared" ca="1" si="417"/>
        <v>7.8895299472994722</v>
      </c>
      <c r="H955" s="307">
        <f t="shared" ca="1" si="418"/>
        <v>-166.09106397424691</v>
      </c>
      <c r="I955" s="304">
        <f t="shared" ca="1" si="419"/>
        <v>166.2783395842246</v>
      </c>
      <c r="J955" s="306">
        <f t="shared" ca="1" si="420"/>
        <v>1416.7607064577739</v>
      </c>
      <c r="K955" s="307">
        <f t="shared" ca="1" si="421"/>
        <v>-2.06192647484544</v>
      </c>
      <c r="L955" s="304">
        <f t="shared" ca="1" si="406"/>
        <v>1416.7622069011859</v>
      </c>
      <c r="M955" s="306">
        <f t="shared" ca="1" si="422"/>
        <v>-1.5233307745388081</v>
      </c>
      <c r="N955" s="304">
        <f t="shared" ca="1" si="423"/>
        <v>-87.280424183468469</v>
      </c>
      <c r="P955" s="310">
        <f t="shared" ca="1" si="424"/>
        <v>23</v>
      </c>
      <c r="Q955" s="304">
        <f t="shared" ca="1" si="425"/>
        <v>0</v>
      </c>
      <c r="R955" s="306">
        <f t="shared" ca="1" si="426"/>
        <v>0</v>
      </c>
      <c r="S955" s="307">
        <f t="shared" ca="1" si="427"/>
        <v>5.6519999999999806</v>
      </c>
      <c r="T955" s="304">
        <f t="shared" ca="1" si="407"/>
        <v>55.446119999999816</v>
      </c>
      <c r="U955" s="311">
        <f t="shared" ca="1" si="408"/>
        <v>0</v>
      </c>
      <c r="V955" s="306">
        <f t="shared" ca="1" si="409"/>
        <v>1.225252612036541</v>
      </c>
      <c r="W955" s="304">
        <f t="shared" ca="1" si="410"/>
        <v>56.080394386617371</v>
      </c>
      <c r="Y955" s="314" t="str">
        <f t="shared" ca="1" si="428"/>
        <v/>
      </c>
      <c r="Z955" s="315" t="str">
        <f t="shared" ca="1" si="429"/>
        <v/>
      </c>
      <c r="AA955" s="316" t="str">
        <f t="shared" ca="1" si="430"/>
        <v/>
      </c>
      <c r="AC955" s="310" t="e">
        <f t="shared" ca="1" si="431"/>
        <v>#N/A</v>
      </c>
      <c r="AD955" s="323" t="e">
        <f t="shared" ca="1" si="432"/>
        <v>#N/A</v>
      </c>
      <c r="AE955" s="324" t="e">
        <f t="shared" ca="1" si="411"/>
        <v>#N/A</v>
      </c>
      <c r="AG955" s="306">
        <f t="shared" ca="1" si="433"/>
        <v>-0.12325513608409899</v>
      </c>
      <c r="AH955" s="304">
        <f t="shared" ca="1" si="434"/>
        <v>-9.9222062201268173</v>
      </c>
    </row>
    <row r="956" spans="1:34" x14ac:dyDescent="0.2">
      <c r="A956" s="347">
        <f t="shared" ca="1" si="412"/>
        <v>1E-4</v>
      </c>
      <c r="B956" s="304">
        <f t="shared" ca="1" si="413"/>
        <v>60.902300000000601</v>
      </c>
      <c r="D956" s="306">
        <f t="shared" ca="1" si="414"/>
        <v>-0.47078688496709725</v>
      </c>
      <c r="E956" s="307">
        <f t="shared" ca="1" si="415"/>
        <v>0.10104605111126119</v>
      </c>
      <c r="F956" s="304">
        <f t="shared" ca="1" si="416"/>
        <v>0.48150866607175669</v>
      </c>
      <c r="G956" s="306">
        <f t="shared" ca="1" si="417"/>
        <v>7.8894828686109753</v>
      </c>
      <c r="H956" s="307">
        <f t="shared" ca="1" si="418"/>
        <v>-166.0910538696418</v>
      </c>
      <c r="I956" s="304">
        <f t="shared" ca="1" si="419"/>
        <v>166.27832725722965</v>
      </c>
      <c r="J956" s="306">
        <f t="shared" ca="1" si="420"/>
        <v>1416.7607064577739</v>
      </c>
      <c r="K956" s="307">
        <f t="shared" ca="1" si="421"/>
        <v>-2.0785355807376344</v>
      </c>
      <c r="L956" s="304">
        <f t="shared" ca="1" si="406"/>
        <v>1416.762231171092</v>
      </c>
      <c r="M956" s="306">
        <f t="shared" ca="1" si="422"/>
        <v>-1.5233310544683996</v>
      </c>
      <c r="N956" s="304">
        <f t="shared" ca="1" si="423"/>
        <v>-87.280440222252622</v>
      </c>
      <c r="P956" s="310">
        <f t="shared" ca="1" si="424"/>
        <v>23</v>
      </c>
      <c r="Q956" s="304">
        <f t="shared" ca="1" si="425"/>
        <v>0</v>
      </c>
      <c r="R956" s="306">
        <f t="shared" ca="1" si="426"/>
        <v>0</v>
      </c>
      <c r="S956" s="307">
        <f t="shared" ca="1" si="427"/>
        <v>5.6519999999999806</v>
      </c>
      <c r="T956" s="304">
        <f t="shared" ca="1" si="407"/>
        <v>55.446119999999816</v>
      </c>
      <c r="U956" s="311">
        <f t="shared" ca="1" si="408"/>
        <v>0</v>
      </c>
      <c r="V956" s="306">
        <f t="shared" ca="1" si="409"/>
        <v>1.2252546470732906</v>
      </c>
      <c r="W956" s="304">
        <f t="shared" ca="1" si="410"/>
        <v>56.080479216196586</v>
      </c>
      <c r="Y956" s="314" t="str">
        <f t="shared" ca="1" si="428"/>
        <v/>
      </c>
      <c r="Z956" s="315" t="str">
        <f t="shared" ca="1" si="429"/>
        <v/>
      </c>
      <c r="AA956" s="316" t="str">
        <f t="shared" ca="1" si="430"/>
        <v/>
      </c>
      <c r="AC956" s="310" t="e">
        <f t="shared" ca="1" si="431"/>
        <v>#N/A</v>
      </c>
      <c r="AD956" s="323" t="e">
        <f t="shared" ca="1" si="432"/>
        <v>#N/A</v>
      </c>
      <c r="AE956" s="324" t="e">
        <f t="shared" ca="1" si="411"/>
        <v>#N/A</v>
      </c>
      <c r="AG956" s="306">
        <f t="shared" ca="1" si="433"/>
        <v>-0.12327001471425447</v>
      </c>
      <c r="AH956" s="304">
        <f t="shared" ca="1" si="434"/>
        <v>-9.9222212290547702</v>
      </c>
    </row>
    <row r="957" spans="1:34" x14ac:dyDescent="0.2">
      <c r="A957" s="347">
        <f t="shared" ca="1" si="412"/>
        <v>1E-4</v>
      </c>
      <c r="B957" s="304">
        <f t="shared" ca="1" si="413"/>
        <v>60.902400000000604</v>
      </c>
      <c r="D957" s="306">
        <f t="shared" ca="1" si="414"/>
        <v>-0.47078482269998684</v>
      </c>
      <c r="E957" s="307">
        <f t="shared" ca="1" si="415"/>
        <v>0.10106117476618337</v>
      </c>
      <c r="F957" s="304">
        <f t="shared" ca="1" si="416"/>
        <v>0.48150982371056467</v>
      </c>
      <c r="G957" s="306">
        <f t="shared" ca="1" si="417"/>
        <v>7.8894357901287053</v>
      </c>
      <c r="H957" s="307">
        <f t="shared" ca="1" si="418"/>
        <v>-166.09104376352431</v>
      </c>
      <c r="I957" s="304">
        <f t="shared" ca="1" si="419"/>
        <v>166.27831492874685</v>
      </c>
      <c r="J957" s="306">
        <f t="shared" ca="1" si="420"/>
        <v>1416.7607064577739</v>
      </c>
      <c r="K957" s="307">
        <f t="shared" ca="1" si="421"/>
        <v>-2.0951446856192928</v>
      </c>
      <c r="L957" s="304">
        <f t="shared" ca="1" si="406"/>
        <v>1416.7622556357098</v>
      </c>
      <c r="M957" s="306">
        <f t="shared" ca="1" si="422"/>
        <v>-1.5233313343963621</v>
      </c>
      <c r="N957" s="304">
        <f t="shared" ca="1" si="423"/>
        <v>-87.280456260943438</v>
      </c>
      <c r="P957" s="310">
        <f t="shared" ca="1" si="424"/>
        <v>23</v>
      </c>
      <c r="Q957" s="304">
        <f t="shared" ca="1" si="425"/>
        <v>0</v>
      </c>
      <c r="R957" s="306">
        <f t="shared" ca="1" si="426"/>
        <v>0</v>
      </c>
      <c r="S957" s="307">
        <f t="shared" ca="1" si="427"/>
        <v>5.6519999999999806</v>
      </c>
      <c r="T957" s="304">
        <f t="shared" ca="1" si="407"/>
        <v>55.446119999999816</v>
      </c>
      <c r="U957" s="311">
        <f t="shared" ca="1" si="408"/>
        <v>0</v>
      </c>
      <c r="V957" s="306">
        <f t="shared" ca="1" si="409"/>
        <v>1.2252566821132966</v>
      </c>
      <c r="W957" s="304">
        <f t="shared" ca="1" si="410"/>
        <v>56.080564044894246</v>
      </c>
      <c r="Y957" s="314" t="str">
        <f t="shared" ca="1" si="428"/>
        <v/>
      </c>
      <c r="Z957" s="315" t="str">
        <f t="shared" ca="1" si="429"/>
        <v/>
      </c>
      <c r="AA957" s="316" t="str">
        <f t="shared" ca="1" si="430"/>
        <v/>
      </c>
      <c r="AC957" s="310" t="e">
        <f t="shared" ca="1" si="431"/>
        <v>#N/A</v>
      </c>
      <c r="AD957" s="323" t="e">
        <f t="shared" ca="1" si="432"/>
        <v>#N/A</v>
      </c>
      <c r="AE957" s="324" t="e">
        <f t="shared" ca="1" si="411"/>
        <v>#N/A</v>
      </c>
      <c r="AG957" s="306">
        <f t="shared" ca="1" si="433"/>
        <v>-0.12328489318996283</v>
      </c>
      <c r="AH957" s="304">
        <f t="shared" ca="1" si="434"/>
        <v>-9.9222362378267484</v>
      </c>
    </row>
    <row r="958" spans="1:34" x14ac:dyDescent="0.2">
      <c r="A958" s="347">
        <f t="shared" ca="1" si="412"/>
        <v>1E-4</v>
      </c>
      <c r="B958" s="304">
        <f t="shared" ca="1" si="413"/>
        <v>60.902500000000607</v>
      </c>
      <c r="D958" s="306">
        <f t="shared" ca="1" si="414"/>
        <v>-0.47078276043319012</v>
      </c>
      <c r="E958" s="307">
        <f t="shared" ca="1" si="415"/>
        <v>0.10107629826416265</v>
      </c>
      <c r="F958" s="304">
        <f t="shared" ca="1" si="416"/>
        <v>0.48151098179779911</v>
      </c>
      <c r="G958" s="306">
        <f t="shared" ca="1" si="417"/>
        <v>7.8893887118526624</v>
      </c>
      <c r="H958" s="307">
        <f t="shared" ca="1" si="418"/>
        <v>-166.09103365589448</v>
      </c>
      <c r="I958" s="304">
        <f t="shared" ca="1" si="419"/>
        <v>166.27830259877618</v>
      </c>
      <c r="J958" s="306">
        <f t="shared" ca="1" si="420"/>
        <v>1416.7607064577739</v>
      </c>
      <c r="K958" s="307">
        <f t="shared" ca="1" si="421"/>
        <v>-2.1117537894902636</v>
      </c>
      <c r="L958" s="304">
        <f t="shared" ca="1" si="406"/>
        <v>1416.7622802950389</v>
      </c>
      <c r="M958" s="306">
        <f t="shared" ca="1" si="422"/>
        <v>-1.523331614322696</v>
      </c>
      <c r="N958" s="304">
        <f t="shared" ca="1" si="423"/>
        <v>-87.280472299540946</v>
      </c>
      <c r="P958" s="310">
        <f t="shared" ca="1" si="424"/>
        <v>23</v>
      </c>
      <c r="Q958" s="304">
        <f t="shared" ca="1" si="425"/>
        <v>0</v>
      </c>
      <c r="R958" s="306">
        <f t="shared" ca="1" si="426"/>
        <v>0</v>
      </c>
      <c r="S958" s="307">
        <f t="shared" ca="1" si="427"/>
        <v>5.6519999999999806</v>
      </c>
      <c r="T958" s="304">
        <f t="shared" ca="1" si="407"/>
        <v>55.446119999999816</v>
      </c>
      <c r="U958" s="311">
        <f t="shared" ca="1" si="408"/>
        <v>0</v>
      </c>
      <c r="V958" s="306">
        <f t="shared" ca="1" si="409"/>
        <v>1.2252587171565594</v>
      </c>
      <c r="W958" s="304">
        <f t="shared" ca="1" si="410"/>
        <v>56.08064887271032</v>
      </c>
      <c r="Y958" s="314" t="str">
        <f t="shared" ca="1" si="428"/>
        <v/>
      </c>
      <c r="Z958" s="315" t="str">
        <f t="shared" ca="1" si="429"/>
        <v/>
      </c>
      <c r="AA958" s="316" t="str">
        <f t="shared" ca="1" si="430"/>
        <v/>
      </c>
      <c r="AC958" s="310" t="e">
        <f t="shared" ca="1" si="431"/>
        <v>#N/A</v>
      </c>
      <c r="AD958" s="323" t="e">
        <f t="shared" ca="1" si="432"/>
        <v>#N/A</v>
      </c>
      <c r="AE958" s="324" t="e">
        <f t="shared" ca="1" si="411"/>
        <v>#N/A</v>
      </c>
      <c r="AG958" s="306">
        <f t="shared" ca="1" si="433"/>
        <v>-0.12329977151122051</v>
      </c>
      <c r="AH958" s="304">
        <f t="shared" ca="1" si="434"/>
        <v>-9.9222512464427535</v>
      </c>
    </row>
    <row r="959" spans="1:34" x14ac:dyDescent="0.2">
      <c r="A959" s="347">
        <f t="shared" ca="1" si="412"/>
        <v>1E-4</v>
      </c>
      <c r="B959" s="304">
        <f t="shared" ca="1" si="413"/>
        <v>60.902600000000611</v>
      </c>
      <c r="D959" s="306">
        <f t="shared" ca="1" si="414"/>
        <v>-0.47078069816670481</v>
      </c>
      <c r="E959" s="307">
        <f t="shared" ca="1" si="415"/>
        <v>0.10109142160519546</v>
      </c>
      <c r="F959" s="304">
        <f t="shared" ca="1" si="416"/>
        <v>0.48151214033343898</v>
      </c>
      <c r="G959" s="306">
        <f t="shared" ca="1" si="417"/>
        <v>7.8893416337828457</v>
      </c>
      <c r="H959" s="307">
        <f t="shared" ca="1" si="418"/>
        <v>-166.09102354675233</v>
      </c>
      <c r="I959" s="304">
        <f t="shared" ca="1" si="419"/>
        <v>166.27829026731774</v>
      </c>
      <c r="J959" s="306">
        <f t="shared" ca="1" si="420"/>
        <v>1416.7607064577739</v>
      </c>
      <c r="K959" s="307">
        <f t="shared" ca="1" si="421"/>
        <v>-2.1283628923503959</v>
      </c>
      <c r="L959" s="304">
        <f t="shared" ca="1" si="406"/>
        <v>1416.7623051490791</v>
      </c>
      <c r="M959" s="306">
        <f t="shared" ca="1" si="422"/>
        <v>-1.5233318942474008</v>
      </c>
      <c r="N959" s="304">
        <f t="shared" ca="1" si="423"/>
        <v>-87.280488338045117</v>
      </c>
      <c r="P959" s="310">
        <f t="shared" ca="1" si="424"/>
        <v>23</v>
      </c>
      <c r="Q959" s="304">
        <f t="shared" ca="1" si="425"/>
        <v>0</v>
      </c>
      <c r="R959" s="306">
        <f t="shared" ca="1" si="426"/>
        <v>0</v>
      </c>
      <c r="S959" s="307">
        <f t="shared" ca="1" si="427"/>
        <v>5.6519999999999806</v>
      </c>
      <c r="T959" s="304">
        <f t="shared" ca="1" si="407"/>
        <v>55.446119999999816</v>
      </c>
      <c r="U959" s="311">
        <f t="shared" ca="1" si="408"/>
        <v>0</v>
      </c>
      <c r="V959" s="306">
        <f t="shared" ca="1" si="409"/>
        <v>1.225260752203079</v>
      </c>
      <c r="W959" s="304">
        <f t="shared" ca="1" si="410"/>
        <v>56.080733699644881</v>
      </c>
      <c r="Y959" s="314" t="str">
        <f t="shared" ca="1" si="428"/>
        <v/>
      </c>
      <c r="Z959" s="315" t="str">
        <f t="shared" ca="1" si="429"/>
        <v/>
      </c>
      <c r="AA959" s="316" t="str">
        <f t="shared" ca="1" si="430"/>
        <v/>
      </c>
      <c r="AC959" s="310" t="e">
        <f t="shared" ca="1" si="431"/>
        <v>#N/A</v>
      </c>
      <c r="AD959" s="323" t="e">
        <f t="shared" ca="1" si="432"/>
        <v>#N/A</v>
      </c>
      <c r="AE959" s="324" t="e">
        <f t="shared" ca="1" si="411"/>
        <v>#N/A</v>
      </c>
      <c r="AG959" s="306">
        <f t="shared" ca="1" si="433"/>
        <v>-0.1233146496780293</v>
      </c>
      <c r="AH959" s="304">
        <f t="shared" ca="1" si="434"/>
        <v>-9.9222662549027802</v>
      </c>
    </row>
    <row r="960" spans="1:34" x14ac:dyDescent="0.2">
      <c r="A960" s="347">
        <f t="shared" ca="1" si="412"/>
        <v>1E-4</v>
      </c>
      <c r="B960" s="304">
        <f t="shared" ca="1" si="413"/>
        <v>60.902700000000614</v>
      </c>
      <c r="D960" s="306">
        <f t="shared" ca="1" si="414"/>
        <v>-0.47077863590053609</v>
      </c>
      <c r="E960" s="307">
        <f t="shared" ca="1" si="415"/>
        <v>0.10110654478929604</v>
      </c>
      <c r="F960" s="304">
        <f t="shared" ca="1" si="416"/>
        <v>0.48151329931747416</v>
      </c>
      <c r="G960" s="306">
        <f t="shared" ca="1" si="417"/>
        <v>7.889294555919256</v>
      </c>
      <c r="H960" s="307">
        <f t="shared" ca="1" si="418"/>
        <v>-166.09101343609785</v>
      </c>
      <c r="I960" s="304">
        <f t="shared" ca="1" si="419"/>
        <v>166.27827793437149</v>
      </c>
      <c r="J960" s="306">
        <f t="shared" ca="1" si="420"/>
        <v>1416.7607064577739</v>
      </c>
      <c r="K960" s="307">
        <f t="shared" ca="1" si="421"/>
        <v>-2.1449719941995382</v>
      </c>
      <c r="L960" s="304">
        <f t="shared" ca="1" si="406"/>
        <v>1416.7623301978306</v>
      </c>
      <c r="M960" s="306">
        <f t="shared" ca="1" si="422"/>
        <v>-1.5233321741704768</v>
      </c>
      <c r="N960" s="304">
        <f t="shared" ca="1" si="423"/>
        <v>-87.280504376455966</v>
      </c>
      <c r="P960" s="310">
        <f t="shared" ca="1" si="424"/>
        <v>23</v>
      </c>
      <c r="Q960" s="304">
        <f t="shared" ca="1" si="425"/>
        <v>0</v>
      </c>
      <c r="R960" s="306">
        <f t="shared" ca="1" si="426"/>
        <v>0</v>
      </c>
      <c r="S960" s="307">
        <f t="shared" ca="1" si="427"/>
        <v>5.6519999999999806</v>
      </c>
      <c r="T960" s="304">
        <f t="shared" ca="1" si="407"/>
        <v>55.446119999999816</v>
      </c>
      <c r="U960" s="311">
        <f t="shared" ca="1" si="408"/>
        <v>0</v>
      </c>
      <c r="V960" s="306">
        <f t="shared" ca="1" si="409"/>
        <v>1.2252627872528545</v>
      </c>
      <c r="W960" s="304">
        <f t="shared" ca="1" si="410"/>
        <v>56.080818525697879</v>
      </c>
      <c r="Y960" s="314" t="str">
        <f t="shared" ca="1" si="428"/>
        <v/>
      </c>
      <c r="Z960" s="315" t="str">
        <f t="shared" ca="1" si="429"/>
        <v/>
      </c>
      <c r="AA960" s="316" t="str">
        <f t="shared" ca="1" si="430"/>
        <v/>
      </c>
      <c r="AC960" s="310" t="e">
        <f t="shared" ca="1" si="431"/>
        <v>#N/A</v>
      </c>
      <c r="AD960" s="323" t="e">
        <f t="shared" ca="1" si="432"/>
        <v>#N/A</v>
      </c>
      <c r="AE960" s="324" t="e">
        <f t="shared" ca="1" si="411"/>
        <v>#N/A</v>
      </c>
      <c r="AG960" s="306">
        <f t="shared" ca="1" si="433"/>
        <v>-0.12332952769039807</v>
      </c>
      <c r="AH960" s="304">
        <f t="shared" ca="1" si="434"/>
        <v>-9.9222812632068429</v>
      </c>
    </row>
    <row r="961" spans="1:34" x14ac:dyDescent="0.2">
      <c r="A961" s="347">
        <f t="shared" ca="1" si="412"/>
        <v>1E-4</v>
      </c>
      <c r="B961" s="304">
        <f t="shared" ca="1" si="413"/>
        <v>60.902800000000617</v>
      </c>
      <c r="D961" s="306">
        <f t="shared" ca="1" si="414"/>
        <v>-0.4707765736346794</v>
      </c>
      <c r="E961" s="307">
        <f t="shared" ca="1" si="415"/>
        <v>0.10112166781645193</v>
      </c>
      <c r="F961" s="304">
        <f t="shared" ca="1" si="416"/>
        <v>0.48151445874987964</v>
      </c>
      <c r="G961" s="306">
        <f t="shared" ca="1" si="417"/>
        <v>7.8892474782618924</v>
      </c>
      <c r="H961" s="307">
        <f t="shared" ca="1" si="418"/>
        <v>-166.09100332393106</v>
      </c>
      <c r="I961" s="304">
        <f t="shared" ca="1" si="419"/>
        <v>166.27826559993744</v>
      </c>
      <c r="J961" s="306">
        <f t="shared" ca="1" si="420"/>
        <v>1416.7607064577739</v>
      </c>
      <c r="K961" s="307">
        <f t="shared" ca="1" si="421"/>
        <v>-2.1615810950375396</v>
      </c>
      <c r="L961" s="304">
        <f t="shared" ca="1" si="406"/>
        <v>1416.7623554412933</v>
      </c>
      <c r="M961" s="306">
        <f t="shared" ca="1" si="422"/>
        <v>-1.523332454091924</v>
      </c>
      <c r="N961" s="304">
        <f t="shared" ca="1" si="423"/>
        <v>-87.280520414773477</v>
      </c>
      <c r="P961" s="310">
        <f t="shared" ca="1" si="424"/>
        <v>23</v>
      </c>
      <c r="Q961" s="304">
        <f t="shared" ca="1" si="425"/>
        <v>0</v>
      </c>
      <c r="R961" s="306">
        <f t="shared" ca="1" si="426"/>
        <v>0</v>
      </c>
      <c r="S961" s="307">
        <f t="shared" ca="1" si="427"/>
        <v>5.6519999999999806</v>
      </c>
      <c r="T961" s="304">
        <f t="shared" ca="1" si="407"/>
        <v>55.446119999999816</v>
      </c>
      <c r="U961" s="311">
        <f t="shared" ca="1" si="408"/>
        <v>0</v>
      </c>
      <c r="V961" s="306">
        <f t="shared" ca="1" si="409"/>
        <v>1.2252648223058868</v>
      </c>
      <c r="W961" s="304">
        <f t="shared" ca="1" si="410"/>
        <v>56.080903350869335</v>
      </c>
      <c r="Y961" s="314" t="str">
        <f t="shared" ca="1" si="428"/>
        <v/>
      </c>
      <c r="Z961" s="315" t="str">
        <f t="shared" ca="1" si="429"/>
        <v/>
      </c>
      <c r="AA961" s="316" t="str">
        <f t="shared" ca="1" si="430"/>
        <v/>
      </c>
      <c r="AC961" s="310" t="e">
        <f t="shared" ca="1" si="431"/>
        <v>#N/A</v>
      </c>
      <c r="AD961" s="323" t="e">
        <f t="shared" ca="1" si="432"/>
        <v>#N/A</v>
      </c>
      <c r="AE961" s="324" t="e">
        <f t="shared" ca="1" si="411"/>
        <v>#N/A</v>
      </c>
      <c r="AG961" s="306">
        <f t="shared" ca="1" si="433"/>
        <v>-0.12334440554831616</v>
      </c>
      <c r="AH961" s="304">
        <f t="shared" ca="1" si="434"/>
        <v>-9.9222962713549308</v>
      </c>
    </row>
    <row r="962" spans="1:34" x14ac:dyDescent="0.2">
      <c r="A962" s="347">
        <f t="shared" ca="1" si="412"/>
        <v>1E-4</v>
      </c>
      <c r="B962" s="304">
        <f t="shared" ca="1" si="413"/>
        <v>60.902900000000621</v>
      </c>
      <c r="D962" s="306">
        <f t="shared" ca="1" si="414"/>
        <v>-0.47077451136913734</v>
      </c>
      <c r="E962" s="307">
        <f t="shared" ca="1" si="415"/>
        <v>0.10113679068666848</v>
      </c>
      <c r="F962" s="304">
        <f t="shared" ca="1" si="416"/>
        <v>0.48151561863064113</v>
      </c>
      <c r="G962" s="306">
        <f t="shared" ca="1" si="417"/>
        <v>7.8892004008107559</v>
      </c>
      <c r="H962" s="307">
        <f t="shared" ca="1" si="418"/>
        <v>-166.09099321025198</v>
      </c>
      <c r="I962" s="304">
        <f t="shared" ca="1" si="419"/>
        <v>166.27825326401563</v>
      </c>
      <c r="J962" s="306">
        <f t="shared" ca="1" si="420"/>
        <v>1416.7607064577739</v>
      </c>
      <c r="K962" s="307">
        <f t="shared" ca="1" si="421"/>
        <v>-2.1781901948642486</v>
      </c>
      <c r="L962" s="304">
        <f t="shared" ca="1" si="406"/>
        <v>1416.7623808794669</v>
      </c>
      <c r="M962" s="306">
        <f t="shared" ca="1" si="422"/>
        <v>-1.5233327340117422</v>
      </c>
      <c r="N962" s="304">
        <f t="shared" ca="1" si="423"/>
        <v>-87.280536452997666</v>
      </c>
      <c r="P962" s="310">
        <f t="shared" ca="1" si="424"/>
        <v>23</v>
      </c>
      <c r="Q962" s="304">
        <f t="shared" ca="1" si="425"/>
        <v>0</v>
      </c>
      <c r="R962" s="306">
        <f t="shared" ca="1" si="426"/>
        <v>0</v>
      </c>
      <c r="S962" s="307">
        <f t="shared" ca="1" si="427"/>
        <v>5.6519999999999806</v>
      </c>
      <c r="T962" s="304">
        <f t="shared" ca="1" si="407"/>
        <v>55.446119999999816</v>
      </c>
      <c r="U962" s="311">
        <f t="shared" ca="1" si="408"/>
        <v>0</v>
      </c>
      <c r="V962" s="306">
        <f t="shared" ca="1" si="409"/>
        <v>1.2252668573621754</v>
      </c>
      <c r="W962" s="304">
        <f t="shared" ca="1" si="410"/>
        <v>56.080988175159248</v>
      </c>
      <c r="Y962" s="314" t="str">
        <f t="shared" ca="1" si="428"/>
        <v/>
      </c>
      <c r="Z962" s="315" t="str">
        <f t="shared" ca="1" si="429"/>
        <v/>
      </c>
      <c r="AA962" s="316" t="str">
        <f t="shared" ca="1" si="430"/>
        <v/>
      </c>
      <c r="AC962" s="310" t="e">
        <f t="shared" ca="1" si="431"/>
        <v>#N/A</v>
      </c>
      <c r="AD962" s="323" t="e">
        <f t="shared" ca="1" si="432"/>
        <v>#N/A</v>
      </c>
      <c r="AE962" s="324" t="e">
        <f t="shared" ca="1" si="411"/>
        <v>#N/A</v>
      </c>
      <c r="AG962" s="306">
        <f t="shared" ca="1" si="433"/>
        <v>-0.12335928325179601</v>
      </c>
      <c r="AH962" s="304">
        <f t="shared" ca="1" si="434"/>
        <v>-9.9223112793470509</v>
      </c>
    </row>
    <row r="963" spans="1:34" x14ac:dyDescent="0.2">
      <c r="A963" s="347">
        <f t="shared" ca="1" si="412"/>
        <v>1E-4</v>
      </c>
      <c r="B963" s="304">
        <f t="shared" ca="1" si="413"/>
        <v>60.903000000000624</v>
      </c>
      <c r="D963" s="306">
        <f t="shared" ca="1" si="414"/>
        <v>-0.47077244910391008</v>
      </c>
      <c r="E963" s="307">
        <f t="shared" ca="1" si="415"/>
        <v>0.10115191339994745</v>
      </c>
      <c r="F963" s="304">
        <f t="shared" ca="1" si="416"/>
        <v>0.48151677895974104</v>
      </c>
      <c r="G963" s="306">
        <f t="shared" ca="1" si="417"/>
        <v>7.8891533235658455</v>
      </c>
      <c r="H963" s="307">
        <f t="shared" ca="1" si="418"/>
        <v>-166.09098309506064</v>
      </c>
      <c r="I963" s="304">
        <f t="shared" ca="1" si="419"/>
        <v>166.27824092660606</v>
      </c>
      <c r="J963" s="306">
        <f t="shared" ca="1" si="420"/>
        <v>1416.7607064577739</v>
      </c>
      <c r="K963" s="307">
        <f t="shared" ca="1" si="421"/>
        <v>-2.1947992936795142</v>
      </c>
      <c r="L963" s="304">
        <f t="shared" ca="1" si="406"/>
        <v>1416.7624065123518</v>
      </c>
      <c r="M963" s="306">
        <f t="shared" ca="1" si="422"/>
        <v>-1.5233330139299317</v>
      </c>
      <c r="N963" s="304">
        <f t="shared" ca="1" si="423"/>
        <v>-87.280552491128532</v>
      </c>
      <c r="P963" s="310">
        <f t="shared" ca="1" si="424"/>
        <v>23</v>
      </c>
      <c r="Q963" s="304">
        <f t="shared" ca="1" si="425"/>
        <v>0</v>
      </c>
      <c r="R963" s="306">
        <f t="shared" ca="1" si="426"/>
        <v>0</v>
      </c>
      <c r="S963" s="307">
        <f t="shared" ca="1" si="427"/>
        <v>5.6519999999999806</v>
      </c>
      <c r="T963" s="304">
        <f t="shared" ca="1" si="407"/>
        <v>55.446119999999816</v>
      </c>
      <c r="U963" s="311">
        <f t="shared" ca="1" si="408"/>
        <v>0</v>
      </c>
      <c r="V963" s="306">
        <f t="shared" ca="1" si="409"/>
        <v>1.2252688924217208</v>
      </c>
      <c r="W963" s="304">
        <f t="shared" ca="1" si="410"/>
        <v>56.081072998567642</v>
      </c>
      <c r="Y963" s="314" t="str">
        <f t="shared" ca="1" si="428"/>
        <v/>
      </c>
      <c r="Z963" s="315" t="str">
        <f t="shared" ca="1" si="429"/>
        <v/>
      </c>
      <c r="AA963" s="316" t="str">
        <f t="shared" ca="1" si="430"/>
        <v/>
      </c>
      <c r="AC963" s="310" t="e">
        <f t="shared" ca="1" si="431"/>
        <v>#N/A</v>
      </c>
      <c r="AD963" s="323" t="e">
        <f t="shared" ca="1" si="432"/>
        <v>#N/A</v>
      </c>
      <c r="AE963" s="324" t="e">
        <f t="shared" ca="1" si="411"/>
        <v>#N/A</v>
      </c>
      <c r="AG963" s="306">
        <f t="shared" ca="1" si="433"/>
        <v>-0.12337416080083052</v>
      </c>
      <c r="AH963" s="304">
        <f t="shared" ca="1" si="434"/>
        <v>-9.9223262871831999</v>
      </c>
    </row>
    <row r="964" spans="1:34" x14ac:dyDescent="0.2">
      <c r="A964" s="347">
        <f t="shared" ca="1" si="412"/>
        <v>1E-4</v>
      </c>
      <c r="B964" s="304">
        <f t="shared" ca="1" si="413"/>
        <v>60.903100000000627</v>
      </c>
      <c r="D964" s="306">
        <f t="shared" ca="1" si="414"/>
        <v>-0.4707703868389958</v>
      </c>
      <c r="E964" s="307">
        <f t="shared" ca="1" si="415"/>
        <v>0.10116703595628884</v>
      </c>
      <c r="F964" s="304">
        <f t="shared" ca="1" si="416"/>
        <v>0.48151793973715951</v>
      </c>
      <c r="G964" s="306">
        <f t="shared" ca="1" si="417"/>
        <v>7.8891062465271613</v>
      </c>
      <c r="H964" s="307">
        <f t="shared" ca="1" si="418"/>
        <v>-166.09097297835703</v>
      </c>
      <c r="I964" s="304">
        <f t="shared" ca="1" si="419"/>
        <v>166.27822858770872</v>
      </c>
      <c r="J964" s="306">
        <f t="shared" ca="1" si="420"/>
        <v>1416.7607064577739</v>
      </c>
      <c r="K964" s="307">
        <f t="shared" ca="1" si="421"/>
        <v>-2.211408391483185</v>
      </c>
      <c r="L964" s="304">
        <f t="shared" ref="L964:L1004" ca="1" si="435">SQRT(pos_x^2+pos_z^2)</f>
        <v>1416.7624323399475</v>
      </c>
      <c r="M964" s="306">
        <f t="shared" ca="1" si="422"/>
        <v>-1.5233332938464923</v>
      </c>
      <c r="N964" s="304">
        <f t="shared" ca="1" si="423"/>
        <v>-87.280568529166061</v>
      </c>
      <c r="P964" s="310">
        <f t="shared" ca="1" si="424"/>
        <v>23</v>
      </c>
      <c r="Q964" s="304">
        <f t="shared" ca="1" si="425"/>
        <v>0</v>
      </c>
      <c r="R964" s="306">
        <f t="shared" ca="1" si="426"/>
        <v>0</v>
      </c>
      <c r="S964" s="307">
        <f t="shared" ca="1" si="427"/>
        <v>5.6519999999999806</v>
      </c>
      <c r="T964" s="304">
        <f t="shared" ref="T964:T1004" ca="1" si="436">m*g</f>
        <v>55.446119999999816</v>
      </c>
      <c r="U964" s="311">
        <f t="shared" ref="U964:U1004" ca="1" si="437">IF(pos_xz&lt;L_rampe,Poids*COS(Beta),0)</f>
        <v>0</v>
      </c>
      <c r="V964" s="306">
        <f t="shared" ref="V964:V1004" ca="1" si="438">Rho_moyen*(20000-Alt_rampe-pos_z)/(20000+Alt_rampe+pos_z)</f>
        <v>1.2252709274845224</v>
      </c>
      <c r="W964" s="304">
        <f t="shared" ref="W964:W1003" ca="1" si="439">1/2*Rho*Sref*Cx*vit_xz^2</f>
        <v>56.081157821094479</v>
      </c>
      <c r="Y964" s="314" t="str">
        <f t="shared" ca="1" si="428"/>
        <v/>
      </c>
      <c r="Z964" s="315" t="str">
        <f t="shared" ca="1" si="429"/>
        <v/>
      </c>
      <c r="AA964" s="316" t="str">
        <f t="shared" ca="1" si="430"/>
        <v/>
      </c>
      <c r="AC964" s="310" t="e">
        <f t="shared" ca="1" si="431"/>
        <v>#N/A</v>
      </c>
      <c r="AD964" s="323" t="e">
        <f t="shared" ca="1" si="432"/>
        <v>#N/A</v>
      </c>
      <c r="AE964" s="324" t="e">
        <f t="shared" ref="AE964:AE1004" ca="1" si="440">IF(t&lt;T_para, pos_z, NA())</f>
        <v>#N/A</v>
      </c>
      <c r="AG964" s="306">
        <f t="shared" ca="1" si="433"/>
        <v>-0.12338903819542146</v>
      </c>
      <c r="AH964" s="304">
        <f t="shared" ca="1" si="434"/>
        <v>-9.9223412948633811</v>
      </c>
    </row>
    <row r="965" spans="1:34" x14ac:dyDescent="0.2">
      <c r="A965" s="347">
        <f t="shared" ref="A965:A1004" ca="1" si="441">IF(B964+0.01&lt;=T_ini+ROUNDUP(Temps_fin_propu,0), 0.01, IF(K964&gt;0, 0.1, 0.0001))</f>
        <v>1E-4</v>
      </c>
      <c r="B965" s="304">
        <f t="shared" ref="B965:B1004" ca="1" si="442">B964+pas</f>
        <v>60.903200000000631</v>
      </c>
      <c r="D965" s="306">
        <f t="shared" ref="D965:D1004" ca="1" si="443">IF(AND(L964&lt;L_rampe,Poussee&lt;Poids*SIN(M964)),0,(-W964+Poussee)/m*COS(M964)-U964/m*SIN(M964))</f>
        <v>-0.47076832457439671</v>
      </c>
      <c r="E965" s="307">
        <f t="shared" ref="E965:E1004" ca="1" si="444">IF(AND(L964&lt;L_rampe,Poussee&lt;Poids*SIN(M964)),0,(-W964+Poussee)/m*SIN(M964)+U964/m*COS(M964)-Poids/m)</f>
        <v>0.10118215835569089</v>
      </c>
      <c r="F965" s="304">
        <f t="shared" ref="F965:F1004" ca="1" si="445">SQRT(acc_x^2+acc_z^2)</f>
        <v>0.48151910096288042</v>
      </c>
      <c r="G965" s="306">
        <f t="shared" ref="G965:G1004" ca="1" si="446">G964+acc_x*pas</f>
        <v>7.8890591696947041</v>
      </c>
      <c r="H965" s="307">
        <f t="shared" ref="H965:H1004" ca="1" si="447">H964+acc_z*pas</f>
        <v>-166.09096286014119</v>
      </c>
      <c r="I965" s="304">
        <f t="shared" ref="I965:I1004" ca="1" si="448">SQRT(vit_x^2+vit_z^2)</f>
        <v>166.27821624732371</v>
      </c>
      <c r="J965" s="306">
        <f t="shared" ref="J965:J1004" ca="1" si="449">J964+0.5*(vit_x+G964)*pas*(K964&gt;=0)</f>
        <v>1416.7607064577739</v>
      </c>
      <c r="K965" s="307">
        <f t="shared" ref="K965:K1004" ca="1" si="450">K964+0.5*(vit_z+H964)*pas</f>
        <v>-2.22801748827511</v>
      </c>
      <c r="L965" s="304">
        <f t="shared" ca="1" si="435"/>
        <v>1416.7624583622544</v>
      </c>
      <c r="M965" s="306">
        <f t="shared" ref="M965:M1004" ca="1" si="451">IF(AND(L964&gt;L_rampe,G965&gt;0),ATAN2(G965,H965),$M$4)</f>
        <v>-1.5233335737614242</v>
      </c>
      <c r="N965" s="304">
        <f t="shared" ref="N965:N1004" ca="1" si="452">DEGREES(Beta)</f>
        <v>-87.280584567110282</v>
      </c>
      <c r="P965" s="310">
        <f t="shared" ref="P965:P1004" ca="1" si="453">MATCH(t-pas/2-T_ini,CdP_t)</f>
        <v>23</v>
      </c>
      <c r="Q965" s="304">
        <f t="shared" ref="Q965:Q1004" ca="1" si="454">(INDEX(CdP,2,i_P+1)-INDEX(CdP,2,i_P+0))/(INDEX(CdP,1,i_P+1)-INDEX(CdP,1,i_P+0))*(t-pas/2-T_ini-INDEX(CdP,1,i_P+0))+INDEX(CdP,2,i_P+0)</f>
        <v>0</v>
      </c>
      <c r="R965" s="306">
        <f t="shared" ref="R965:R1004" ca="1" si="455">Poussee/(g*ISP)</f>
        <v>0</v>
      </c>
      <c r="S965" s="307">
        <f t="shared" ref="S965:S1004" ca="1" si="456">S964-Débit*pas</f>
        <v>5.6519999999999806</v>
      </c>
      <c r="T965" s="304">
        <f t="shared" ca="1" si="436"/>
        <v>55.446119999999816</v>
      </c>
      <c r="U965" s="311">
        <f t="shared" ca="1" si="437"/>
        <v>0</v>
      </c>
      <c r="V965" s="306">
        <f t="shared" ca="1" si="438"/>
        <v>1.2252729625505807</v>
      </c>
      <c r="W965" s="304">
        <f t="shared" ca="1" si="439"/>
        <v>56.081242642739838</v>
      </c>
      <c r="Y965" s="314" t="str">
        <f t="shared" ref="Y965:Y1003" ca="1" si="457">IF(AND(pos_z&lt;=0,K964&gt;0),"Impact balistique","") &amp; IF(AND(H966&lt;0,vit_z&gt;=0),"Apogée","") &amp; IF(AND(Poussee=0,Q964&gt;0),"Fin de propulsion","") &amp; IF(AND(L966&gt;L_rampe,pos_xz&lt;=L_rampe),"Sortie de rampe","")</f>
        <v/>
      </c>
      <c r="Z965" s="315" t="str">
        <f t="shared" ref="Z965:Z1004" ca="1" si="458">IF(ABS(t-T_para)&lt;pas/2,"Para","")</f>
        <v/>
      </c>
      <c r="AA965" s="316" t="str">
        <f t="shared" ref="AA965:AA1004" ca="1" si="459">IF(ABS(t-T_satellite)&lt;pas/2,"Satellite","")</f>
        <v/>
      </c>
      <c r="AC965" s="310" t="e">
        <f t="shared" ref="AC965:AC1004" ca="1" si="460">IF(ABS(t-ROUND(t,0))&lt;0.001,t,NA())</f>
        <v>#N/A</v>
      </c>
      <c r="AD965" s="323" t="e">
        <f t="shared" ref="AD965:AD1004" ca="1" si="461">IF(ABS(t-ROUND(t,0))&lt;0.001,pos_x,NA())</f>
        <v>#N/A</v>
      </c>
      <c r="AE965" s="324" t="e">
        <f t="shared" ca="1" si="440"/>
        <v>#N/A</v>
      </c>
      <c r="AG965" s="306">
        <f t="shared" ref="AG965:AG1004" ca="1" si="462">IF(AND(L964&lt;L_rampe,Poussee&lt;Poids*SIN(M964)),0,(-W964+Poussee)/m-Poids*SIN(M964)/m)</f>
        <v>-0.12340391543556883</v>
      </c>
      <c r="AH965" s="304">
        <f t="shared" ref="AH965:AH1004" ca="1" si="463">IF(AND(L964&lt;L_rampe,Poussee&lt;Poids*SIN(M964)), g*SIN(M964), (-W964+Poussee)/m)</f>
        <v>-9.9223563023875929</v>
      </c>
    </row>
    <row r="966" spans="1:34" x14ac:dyDescent="0.2">
      <c r="A966" s="347">
        <f t="shared" ca="1" si="441"/>
        <v>1E-4</v>
      </c>
      <c r="B966" s="304">
        <f t="shared" ca="1" si="442"/>
        <v>60.903300000000634</v>
      </c>
      <c r="D966" s="306">
        <f t="shared" ca="1" si="443"/>
        <v>-0.47076626231011121</v>
      </c>
      <c r="E966" s="307">
        <f t="shared" ca="1" si="444"/>
        <v>0.10119728059816602</v>
      </c>
      <c r="F966" s="304">
        <f t="shared" ca="1" si="445"/>
        <v>0.48152026263688674</v>
      </c>
      <c r="G966" s="306">
        <f t="shared" ca="1" si="446"/>
        <v>7.8890120930684731</v>
      </c>
      <c r="H966" s="307">
        <f t="shared" ca="1" si="447"/>
        <v>-166.09095274041314</v>
      </c>
      <c r="I966" s="304">
        <f t="shared" ca="1" si="448"/>
        <v>166.27820390545099</v>
      </c>
      <c r="J966" s="306">
        <f t="shared" ca="1" si="449"/>
        <v>1416.7607064577739</v>
      </c>
      <c r="K966" s="307">
        <f t="shared" ca="1" si="450"/>
        <v>-2.2446265840551378</v>
      </c>
      <c r="L966" s="304">
        <f t="shared" ca="1" si="435"/>
        <v>1416.7624845792723</v>
      </c>
      <c r="M966" s="306">
        <f t="shared" ca="1" si="451"/>
        <v>-1.5233338536747272</v>
      </c>
      <c r="N966" s="304">
        <f t="shared" ca="1" si="452"/>
        <v>-87.28060060496118</v>
      </c>
      <c r="P966" s="310">
        <f t="shared" ca="1" si="453"/>
        <v>23</v>
      </c>
      <c r="Q966" s="304">
        <f t="shared" ca="1" si="454"/>
        <v>0</v>
      </c>
      <c r="R966" s="306">
        <f t="shared" ca="1" si="455"/>
        <v>0</v>
      </c>
      <c r="S966" s="307">
        <f t="shared" ca="1" si="456"/>
        <v>5.6519999999999806</v>
      </c>
      <c r="T966" s="304">
        <f t="shared" ca="1" si="436"/>
        <v>55.446119999999816</v>
      </c>
      <c r="U966" s="311">
        <f t="shared" ca="1" si="437"/>
        <v>0</v>
      </c>
      <c r="V966" s="306">
        <f t="shared" ca="1" si="438"/>
        <v>1.2252749976198953</v>
      </c>
      <c r="W966" s="304">
        <f t="shared" ca="1" si="439"/>
        <v>56.08132746350369</v>
      </c>
      <c r="Y966" s="314" t="str">
        <f t="shared" ca="1" si="457"/>
        <v/>
      </c>
      <c r="Z966" s="315" t="str">
        <f t="shared" ca="1" si="458"/>
        <v/>
      </c>
      <c r="AA966" s="316" t="str">
        <f t="shared" ca="1" si="459"/>
        <v/>
      </c>
      <c r="AC966" s="310" t="e">
        <f t="shared" ca="1" si="460"/>
        <v>#N/A</v>
      </c>
      <c r="AD966" s="323" t="e">
        <f t="shared" ca="1" si="461"/>
        <v>#N/A</v>
      </c>
      <c r="AE966" s="324" t="e">
        <f t="shared" ca="1" si="440"/>
        <v>#N/A</v>
      </c>
      <c r="AG966" s="306">
        <f t="shared" ca="1" si="462"/>
        <v>-0.12341879252128329</v>
      </c>
      <c r="AH966" s="304">
        <f t="shared" ca="1" si="463"/>
        <v>-9.9223713097558441</v>
      </c>
    </row>
    <row r="967" spans="1:34" x14ac:dyDescent="0.2">
      <c r="A967" s="347">
        <f t="shared" ca="1" si="441"/>
        <v>1E-4</v>
      </c>
      <c r="B967" s="304">
        <f t="shared" ca="1" si="442"/>
        <v>60.903400000000637</v>
      </c>
      <c r="D967" s="306">
        <f t="shared" ca="1" si="443"/>
        <v>-0.47076420004614183</v>
      </c>
      <c r="E967" s="307">
        <f t="shared" ca="1" si="444"/>
        <v>0.10121240268370713</v>
      </c>
      <c r="F967" s="304">
        <f t="shared" ca="1" si="445"/>
        <v>0.48152142475916138</v>
      </c>
      <c r="G967" s="306">
        <f t="shared" ca="1" si="446"/>
        <v>7.8889650166484682</v>
      </c>
      <c r="H967" s="307">
        <f t="shared" ca="1" si="447"/>
        <v>-166.09094261917286</v>
      </c>
      <c r="I967" s="304">
        <f t="shared" ca="1" si="448"/>
        <v>166.27819156209054</v>
      </c>
      <c r="J967" s="306">
        <f t="shared" ca="1" si="449"/>
        <v>1416.7607064577739</v>
      </c>
      <c r="K967" s="307">
        <f t="shared" ca="1" si="450"/>
        <v>-2.2612356788231169</v>
      </c>
      <c r="L967" s="304">
        <f t="shared" ca="1" si="435"/>
        <v>1416.7625109910009</v>
      </c>
      <c r="M967" s="306">
        <f t="shared" ca="1" si="451"/>
        <v>-1.5233341335864015</v>
      </c>
      <c r="N967" s="304">
        <f t="shared" ca="1" si="452"/>
        <v>-87.280616642718755</v>
      </c>
      <c r="P967" s="310">
        <f t="shared" ca="1" si="453"/>
        <v>23</v>
      </c>
      <c r="Q967" s="304">
        <f t="shared" ca="1" si="454"/>
        <v>0</v>
      </c>
      <c r="R967" s="306">
        <f t="shared" ca="1" si="455"/>
        <v>0</v>
      </c>
      <c r="S967" s="307">
        <f t="shared" ca="1" si="456"/>
        <v>5.6519999999999806</v>
      </c>
      <c r="T967" s="304">
        <f t="shared" ca="1" si="436"/>
        <v>55.446119999999816</v>
      </c>
      <c r="U967" s="311">
        <f t="shared" ca="1" si="437"/>
        <v>0</v>
      </c>
      <c r="V967" s="306">
        <f t="shared" ca="1" si="438"/>
        <v>1.2252770326924662</v>
      </c>
      <c r="W967" s="304">
        <f t="shared" ca="1" si="439"/>
        <v>56.081412283385994</v>
      </c>
      <c r="Y967" s="314" t="str">
        <f t="shared" ca="1" si="457"/>
        <v/>
      </c>
      <c r="Z967" s="315" t="str">
        <f t="shared" ca="1" si="458"/>
        <v/>
      </c>
      <c r="AA967" s="316" t="str">
        <f t="shared" ca="1" si="459"/>
        <v/>
      </c>
      <c r="AC967" s="310" t="e">
        <f t="shared" ca="1" si="460"/>
        <v>#N/A</v>
      </c>
      <c r="AD967" s="323" t="e">
        <f t="shared" ca="1" si="461"/>
        <v>#N/A</v>
      </c>
      <c r="AE967" s="324" t="e">
        <f t="shared" ca="1" si="440"/>
        <v>#N/A</v>
      </c>
      <c r="AG967" s="306">
        <f t="shared" ca="1" si="462"/>
        <v>-0.12343366945256129</v>
      </c>
      <c r="AH967" s="304">
        <f t="shared" ca="1" si="463"/>
        <v>-9.922386316968133</v>
      </c>
    </row>
    <row r="968" spans="1:34" x14ac:dyDescent="0.2">
      <c r="A968" s="347">
        <f t="shared" ca="1" si="441"/>
        <v>1E-4</v>
      </c>
      <c r="B968" s="304">
        <f t="shared" ca="1" si="442"/>
        <v>60.903500000000641</v>
      </c>
      <c r="D968" s="306">
        <f t="shared" ca="1" si="443"/>
        <v>-0.47076213778248588</v>
      </c>
      <c r="E968" s="307">
        <f t="shared" ca="1" si="444"/>
        <v>0.10122752461230711</v>
      </c>
      <c r="F968" s="304">
        <f t="shared" ca="1" si="445"/>
        <v>0.48152258732968223</v>
      </c>
      <c r="G968" s="306">
        <f t="shared" ca="1" si="446"/>
        <v>7.8889179404346903</v>
      </c>
      <c r="H968" s="307">
        <f t="shared" ca="1" si="447"/>
        <v>-166.09093249642041</v>
      </c>
      <c r="I968" s="304">
        <f t="shared" ca="1" si="448"/>
        <v>166.27817921724244</v>
      </c>
      <c r="J968" s="306">
        <f t="shared" ca="1" si="449"/>
        <v>1416.7607064577739</v>
      </c>
      <c r="K968" s="307">
        <f t="shared" ca="1" si="450"/>
        <v>-2.2778447725788964</v>
      </c>
      <c r="L968" s="304">
        <f t="shared" ca="1" si="435"/>
        <v>1416.7625375974403</v>
      </c>
      <c r="M968" s="306">
        <f t="shared" ca="1" si="451"/>
        <v>-1.523334413496447</v>
      </c>
      <c r="N968" s="304">
        <f t="shared" ca="1" si="452"/>
        <v>-87.280632680383007</v>
      </c>
      <c r="P968" s="310">
        <f t="shared" ca="1" si="453"/>
        <v>23</v>
      </c>
      <c r="Q968" s="304">
        <f t="shared" ca="1" si="454"/>
        <v>0</v>
      </c>
      <c r="R968" s="306">
        <f t="shared" ca="1" si="455"/>
        <v>0</v>
      </c>
      <c r="S968" s="307">
        <f t="shared" ca="1" si="456"/>
        <v>5.6519999999999806</v>
      </c>
      <c r="T968" s="304">
        <f t="shared" ca="1" si="436"/>
        <v>55.446119999999816</v>
      </c>
      <c r="U968" s="311">
        <f t="shared" ca="1" si="437"/>
        <v>0</v>
      </c>
      <c r="V968" s="306">
        <f t="shared" ca="1" si="438"/>
        <v>1.2252790677682939</v>
      </c>
      <c r="W968" s="304">
        <f t="shared" ca="1" si="439"/>
        <v>56.081497102386813</v>
      </c>
      <c r="Y968" s="314" t="str">
        <f t="shared" ca="1" si="457"/>
        <v/>
      </c>
      <c r="Z968" s="315" t="str">
        <f t="shared" ca="1" si="458"/>
        <v/>
      </c>
      <c r="AA968" s="316" t="str">
        <f t="shared" ca="1" si="459"/>
        <v/>
      </c>
      <c r="AC968" s="310" t="e">
        <f t="shared" ca="1" si="460"/>
        <v>#N/A</v>
      </c>
      <c r="AD968" s="323" t="e">
        <f t="shared" ca="1" si="461"/>
        <v>#N/A</v>
      </c>
      <c r="AE968" s="324" t="e">
        <f t="shared" ca="1" si="440"/>
        <v>#N/A</v>
      </c>
      <c r="AG968" s="306">
        <f t="shared" ca="1" si="462"/>
        <v>-0.12344854622939039</v>
      </c>
      <c r="AH968" s="304">
        <f t="shared" ca="1" si="463"/>
        <v>-9.9224013240244489</v>
      </c>
    </row>
    <row r="969" spans="1:34" x14ac:dyDescent="0.2">
      <c r="A969" s="347">
        <f t="shared" ca="1" si="441"/>
        <v>1E-4</v>
      </c>
      <c r="B969" s="304">
        <f t="shared" ca="1" si="442"/>
        <v>60.903600000000644</v>
      </c>
      <c r="D969" s="306">
        <f t="shared" ca="1" si="443"/>
        <v>-0.47076007551914428</v>
      </c>
      <c r="E969" s="307">
        <f t="shared" ca="1" si="444"/>
        <v>0.1012426463839784</v>
      </c>
      <c r="F969" s="304">
        <f t="shared" ca="1" si="445"/>
        <v>0.48152375034843475</v>
      </c>
      <c r="G969" s="306">
        <f t="shared" ca="1" si="446"/>
        <v>7.8888708644271386</v>
      </c>
      <c r="H969" s="307">
        <f t="shared" ca="1" si="447"/>
        <v>-166.09092237215577</v>
      </c>
      <c r="I969" s="304">
        <f t="shared" ca="1" si="448"/>
        <v>166.27816687090666</v>
      </c>
      <c r="J969" s="306">
        <f t="shared" ca="1" si="449"/>
        <v>1416.7607064577739</v>
      </c>
      <c r="K969" s="307">
        <f t="shared" ca="1" si="450"/>
        <v>-2.2944538653223252</v>
      </c>
      <c r="L969" s="304">
        <f t="shared" ca="1" si="435"/>
        <v>1416.7625643985907</v>
      </c>
      <c r="M969" s="306">
        <f t="shared" ca="1" si="451"/>
        <v>-1.5233346934048637</v>
      </c>
      <c r="N969" s="304">
        <f t="shared" ca="1" si="452"/>
        <v>-87.280648717953937</v>
      </c>
      <c r="P969" s="310">
        <f t="shared" ca="1" si="453"/>
        <v>23</v>
      </c>
      <c r="Q969" s="304">
        <f t="shared" ca="1" si="454"/>
        <v>0</v>
      </c>
      <c r="R969" s="306">
        <f t="shared" ca="1" si="455"/>
        <v>0</v>
      </c>
      <c r="S969" s="307">
        <f t="shared" ca="1" si="456"/>
        <v>5.6519999999999806</v>
      </c>
      <c r="T969" s="304">
        <f t="shared" ca="1" si="436"/>
        <v>55.446119999999816</v>
      </c>
      <c r="U969" s="311">
        <f t="shared" ca="1" si="437"/>
        <v>0</v>
      </c>
      <c r="V969" s="306">
        <f t="shared" ca="1" si="438"/>
        <v>1.2252811028473776</v>
      </c>
      <c r="W969" s="304">
        <f t="shared" ca="1" si="439"/>
        <v>56.081581920506103</v>
      </c>
      <c r="Y969" s="314" t="str">
        <f t="shared" ca="1" si="457"/>
        <v/>
      </c>
      <c r="Z969" s="315" t="str">
        <f t="shared" ca="1" si="458"/>
        <v/>
      </c>
      <c r="AA969" s="316" t="str">
        <f t="shared" ca="1" si="459"/>
        <v/>
      </c>
      <c r="AC969" s="310" t="e">
        <f t="shared" ca="1" si="460"/>
        <v>#N/A</v>
      </c>
      <c r="AD969" s="323" t="e">
        <f t="shared" ca="1" si="461"/>
        <v>#N/A</v>
      </c>
      <c r="AE969" s="324" t="e">
        <f t="shared" ca="1" si="440"/>
        <v>#N/A</v>
      </c>
      <c r="AG969" s="306">
        <f t="shared" ca="1" si="462"/>
        <v>-0.12346342285178658</v>
      </c>
      <c r="AH969" s="304">
        <f t="shared" ca="1" si="463"/>
        <v>-9.9224163309248059</v>
      </c>
    </row>
    <row r="970" spans="1:34" x14ac:dyDescent="0.2">
      <c r="A970" s="347">
        <f t="shared" ca="1" si="441"/>
        <v>1E-4</v>
      </c>
      <c r="B970" s="304">
        <f t="shared" ca="1" si="442"/>
        <v>60.903700000000647</v>
      </c>
      <c r="D970" s="306">
        <f t="shared" ca="1" si="443"/>
        <v>-0.47075801325611899</v>
      </c>
      <c r="E970" s="307">
        <f t="shared" ca="1" si="444"/>
        <v>0.10125776799871389</v>
      </c>
      <c r="F970" s="304">
        <f t="shared" ca="1" si="445"/>
        <v>0.4815249138154013</v>
      </c>
      <c r="G970" s="306">
        <f t="shared" ca="1" si="446"/>
        <v>7.888823788625813</v>
      </c>
      <c r="H970" s="307">
        <f t="shared" ca="1" si="447"/>
        <v>-166.09091224637896</v>
      </c>
      <c r="I970" s="304">
        <f t="shared" ca="1" si="448"/>
        <v>166.27815452308323</v>
      </c>
      <c r="J970" s="306">
        <f t="shared" ca="1" si="449"/>
        <v>1416.7607064577739</v>
      </c>
      <c r="K970" s="307">
        <f t="shared" ca="1" si="450"/>
        <v>-2.3110629570532519</v>
      </c>
      <c r="L970" s="304">
        <f t="shared" ca="1" si="435"/>
        <v>1416.7625913944519</v>
      </c>
      <c r="M970" s="306">
        <f t="shared" ca="1" si="451"/>
        <v>-1.5233349733116519</v>
      </c>
      <c r="N970" s="304">
        <f t="shared" ca="1" si="452"/>
        <v>-87.280664755431559</v>
      </c>
      <c r="P970" s="310">
        <f t="shared" ca="1" si="453"/>
        <v>23</v>
      </c>
      <c r="Q970" s="304">
        <f t="shared" ca="1" si="454"/>
        <v>0</v>
      </c>
      <c r="R970" s="306">
        <f t="shared" ca="1" si="455"/>
        <v>0</v>
      </c>
      <c r="S970" s="307">
        <f t="shared" ca="1" si="456"/>
        <v>5.6519999999999806</v>
      </c>
      <c r="T970" s="304">
        <f t="shared" ca="1" si="436"/>
        <v>55.446119999999816</v>
      </c>
      <c r="U970" s="311">
        <f t="shared" ca="1" si="437"/>
        <v>0</v>
      </c>
      <c r="V970" s="306">
        <f t="shared" ca="1" si="438"/>
        <v>1.2252831379297184</v>
      </c>
      <c r="W970" s="304">
        <f t="shared" ca="1" si="439"/>
        <v>56.081666737743944</v>
      </c>
      <c r="Y970" s="314" t="str">
        <f t="shared" ca="1" si="457"/>
        <v/>
      </c>
      <c r="Z970" s="315" t="str">
        <f t="shared" ca="1" si="458"/>
        <v/>
      </c>
      <c r="AA970" s="316" t="str">
        <f t="shared" ca="1" si="459"/>
        <v/>
      </c>
      <c r="AC970" s="310" t="e">
        <f t="shared" ca="1" si="460"/>
        <v>#N/A</v>
      </c>
      <c r="AD970" s="323" t="e">
        <f t="shared" ca="1" si="461"/>
        <v>#N/A</v>
      </c>
      <c r="AE970" s="324" t="e">
        <f t="shared" ca="1" si="440"/>
        <v>#N/A</v>
      </c>
      <c r="AG970" s="306">
        <f t="shared" ca="1" si="462"/>
        <v>-0.12347829931974097</v>
      </c>
      <c r="AH970" s="304">
        <f t="shared" ca="1" si="463"/>
        <v>-9.9224313376691953</v>
      </c>
    </row>
    <row r="971" spans="1:34" x14ac:dyDescent="0.2">
      <c r="A971" s="347">
        <f t="shared" ca="1" si="441"/>
        <v>1E-4</v>
      </c>
      <c r="B971" s="304">
        <f t="shared" ca="1" si="442"/>
        <v>60.903800000000651</v>
      </c>
      <c r="D971" s="306">
        <f t="shared" ca="1" si="443"/>
        <v>-0.47075595099340667</v>
      </c>
      <c r="E971" s="307">
        <f t="shared" ca="1" si="444"/>
        <v>0.10127288945652779</v>
      </c>
      <c r="F971" s="304">
        <f t="shared" ca="1" si="445"/>
        <v>0.48152607773056361</v>
      </c>
      <c r="G971" s="306">
        <f t="shared" ca="1" si="446"/>
        <v>7.8887767130307136</v>
      </c>
      <c r="H971" s="307">
        <f t="shared" ca="1" si="447"/>
        <v>-166.09090211909</v>
      </c>
      <c r="I971" s="304">
        <f t="shared" ca="1" si="448"/>
        <v>166.27814217377218</v>
      </c>
      <c r="J971" s="306">
        <f t="shared" ca="1" si="449"/>
        <v>1416.7607064577739</v>
      </c>
      <c r="K971" s="307">
        <f t="shared" ca="1" si="450"/>
        <v>-2.3276720477715256</v>
      </c>
      <c r="L971" s="304">
        <f t="shared" ca="1" si="435"/>
        <v>1416.7626185850236</v>
      </c>
      <c r="M971" s="306">
        <f t="shared" ca="1" si="451"/>
        <v>-1.5233352532168112</v>
      </c>
      <c r="N971" s="304">
        <f t="shared" ca="1" si="452"/>
        <v>-87.280680792815843</v>
      </c>
      <c r="P971" s="310">
        <f t="shared" ca="1" si="453"/>
        <v>23</v>
      </c>
      <c r="Q971" s="304">
        <f t="shared" ca="1" si="454"/>
        <v>0</v>
      </c>
      <c r="R971" s="306">
        <f t="shared" ca="1" si="455"/>
        <v>0</v>
      </c>
      <c r="S971" s="307">
        <f t="shared" ca="1" si="456"/>
        <v>5.6519999999999806</v>
      </c>
      <c r="T971" s="304">
        <f t="shared" ca="1" si="436"/>
        <v>55.446119999999816</v>
      </c>
      <c r="U971" s="311">
        <f t="shared" ca="1" si="437"/>
        <v>0</v>
      </c>
      <c r="V971" s="306">
        <f t="shared" ca="1" si="438"/>
        <v>1.2252851730153147</v>
      </c>
      <c r="W971" s="304">
        <f t="shared" ca="1" si="439"/>
        <v>56.081751554100258</v>
      </c>
      <c r="Y971" s="314" t="str">
        <f t="shared" ca="1" si="457"/>
        <v/>
      </c>
      <c r="Z971" s="315" t="str">
        <f t="shared" ca="1" si="458"/>
        <v/>
      </c>
      <c r="AA971" s="316" t="str">
        <f t="shared" ca="1" si="459"/>
        <v/>
      </c>
      <c r="AC971" s="310" t="e">
        <f t="shared" ca="1" si="460"/>
        <v>#N/A</v>
      </c>
      <c r="AD971" s="323" t="e">
        <f t="shared" ca="1" si="461"/>
        <v>#N/A</v>
      </c>
      <c r="AE971" s="324" t="e">
        <f t="shared" ca="1" si="440"/>
        <v>#N/A</v>
      </c>
      <c r="AG971" s="306">
        <f t="shared" ca="1" si="462"/>
        <v>-0.12349317563326956</v>
      </c>
      <c r="AH971" s="304">
        <f t="shared" ca="1" si="463"/>
        <v>-9.9224463442576329</v>
      </c>
    </row>
    <row r="972" spans="1:34" x14ac:dyDescent="0.2">
      <c r="A972" s="347">
        <f t="shared" ca="1" si="441"/>
        <v>1E-4</v>
      </c>
      <c r="B972" s="304">
        <f t="shared" ca="1" si="442"/>
        <v>60.903900000000654</v>
      </c>
      <c r="D972" s="306">
        <f t="shared" ca="1" si="443"/>
        <v>-0.47075388873101098</v>
      </c>
      <c r="E972" s="307">
        <f t="shared" ca="1" si="444"/>
        <v>0.10128801075740235</v>
      </c>
      <c r="F972" s="304">
        <f t="shared" ca="1" si="445"/>
        <v>0.48152724209390346</v>
      </c>
      <c r="G972" s="306">
        <f t="shared" ca="1" si="446"/>
        <v>7.8887296376418403</v>
      </c>
      <c r="H972" s="307">
        <f t="shared" ca="1" si="447"/>
        <v>-166.09089199028892</v>
      </c>
      <c r="I972" s="304">
        <f t="shared" ca="1" si="448"/>
        <v>166.27812982297348</v>
      </c>
      <c r="J972" s="306">
        <f t="shared" ca="1" si="449"/>
        <v>1416.7607064577739</v>
      </c>
      <c r="K972" s="307">
        <f t="shared" ca="1" si="450"/>
        <v>-2.3442811374769947</v>
      </c>
      <c r="L972" s="304">
        <f t="shared" ca="1" si="435"/>
        <v>1416.7626459703058</v>
      </c>
      <c r="M972" s="306">
        <f t="shared" ca="1" si="451"/>
        <v>-1.5233355331203415</v>
      </c>
      <c r="N972" s="304">
        <f t="shared" ca="1" si="452"/>
        <v>-87.280696830106805</v>
      </c>
      <c r="P972" s="310">
        <f t="shared" ca="1" si="453"/>
        <v>23</v>
      </c>
      <c r="Q972" s="304">
        <f t="shared" ca="1" si="454"/>
        <v>0</v>
      </c>
      <c r="R972" s="306">
        <f t="shared" ca="1" si="455"/>
        <v>0</v>
      </c>
      <c r="S972" s="307">
        <f t="shared" ca="1" si="456"/>
        <v>5.6519999999999806</v>
      </c>
      <c r="T972" s="304">
        <f t="shared" ca="1" si="436"/>
        <v>55.446119999999816</v>
      </c>
      <c r="U972" s="311">
        <f t="shared" ca="1" si="437"/>
        <v>0</v>
      </c>
      <c r="V972" s="306">
        <f t="shared" ca="1" si="438"/>
        <v>1.2252872081041681</v>
      </c>
      <c r="W972" s="304">
        <f t="shared" ca="1" si="439"/>
        <v>56.081836369575086</v>
      </c>
      <c r="Y972" s="314" t="str">
        <f t="shared" ca="1" si="457"/>
        <v/>
      </c>
      <c r="Z972" s="315" t="str">
        <f t="shared" ca="1" si="458"/>
        <v/>
      </c>
      <c r="AA972" s="316" t="str">
        <f t="shared" ca="1" si="459"/>
        <v/>
      </c>
      <c r="AC972" s="310" t="e">
        <f t="shared" ca="1" si="460"/>
        <v>#N/A</v>
      </c>
      <c r="AD972" s="323" t="e">
        <f t="shared" ca="1" si="461"/>
        <v>#N/A</v>
      </c>
      <c r="AE972" s="324" t="e">
        <f t="shared" ca="1" si="440"/>
        <v>#N/A</v>
      </c>
      <c r="AG972" s="306">
        <f t="shared" ca="1" si="462"/>
        <v>-0.12350805179235635</v>
      </c>
      <c r="AH972" s="304">
        <f t="shared" ca="1" si="463"/>
        <v>-9.9224613506901012</v>
      </c>
    </row>
    <row r="973" spans="1:34" x14ac:dyDescent="0.2">
      <c r="A973" s="347">
        <f t="shared" ca="1" si="441"/>
        <v>1E-4</v>
      </c>
      <c r="B973" s="304">
        <f t="shared" ca="1" si="442"/>
        <v>60.904000000000657</v>
      </c>
      <c r="D973" s="306">
        <f t="shared" ca="1" si="443"/>
        <v>-0.47075182646893277</v>
      </c>
      <c r="E973" s="307">
        <f t="shared" ca="1" si="444"/>
        <v>0.10130313190135176</v>
      </c>
      <c r="F973" s="304">
        <f t="shared" ca="1" si="445"/>
        <v>0.4815284069054066</v>
      </c>
      <c r="G973" s="306">
        <f t="shared" ca="1" si="446"/>
        <v>7.8886825624591932</v>
      </c>
      <c r="H973" s="307">
        <f t="shared" ca="1" si="447"/>
        <v>-166.09088185997572</v>
      </c>
      <c r="I973" s="304">
        <f t="shared" ca="1" si="448"/>
        <v>166.27811747068722</v>
      </c>
      <c r="J973" s="306">
        <f t="shared" ca="1" si="449"/>
        <v>1416.7607064577739</v>
      </c>
      <c r="K973" s="307">
        <f t="shared" ca="1" si="450"/>
        <v>-2.3608902261695079</v>
      </c>
      <c r="L973" s="304">
        <f t="shared" ca="1" si="435"/>
        <v>1416.7626735502988</v>
      </c>
      <c r="M973" s="306">
        <f t="shared" ca="1" si="451"/>
        <v>-1.5233358130222434</v>
      </c>
      <c r="N973" s="304">
        <f t="shared" ca="1" si="452"/>
        <v>-87.280712867304459</v>
      </c>
      <c r="P973" s="310">
        <f t="shared" ca="1" si="453"/>
        <v>23</v>
      </c>
      <c r="Q973" s="304">
        <f t="shared" ca="1" si="454"/>
        <v>0</v>
      </c>
      <c r="R973" s="306">
        <f t="shared" ca="1" si="455"/>
        <v>0</v>
      </c>
      <c r="S973" s="307">
        <f t="shared" ca="1" si="456"/>
        <v>5.6519999999999806</v>
      </c>
      <c r="T973" s="304">
        <f t="shared" ca="1" si="436"/>
        <v>55.446119999999816</v>
      </c>
      <c r="U973" s="311">
        <f t="shared" ca="1" si="437"/>
        <v>0</v>
      </c>
      <c r="V973" s="306">
        <f t="shared" ca="1" si="438"/>
        <v>1.2252892431962776</v>
      </c>
      <c r="W973" s="304">
        <f t="shared" ca="1" si="439"/>
        <v>56.081921184168451</v>
      </c>
      <c r="Y973" s="314" t="str">
        <f t="shared" ca="1" si="457"/>
        <v/>
      </c>
      <c r="Z973" s="315" t="str">
        <f t="shared" ca="1" si="458"/>
        <v/>
      </c>
      <c r="AA973" s="316" t="str">
        <f t="shared" ca="1" si="459"/>
        <v/>
      </c>
      <c r="AC973" s="310" t="e">
        <f t="shared" ca="1" si="460"/>
        <v>#N/A</v>
      </c>
      <c r="AD973" s="323" t="e">
        <f t="shared" ca="1" si="461"/>
        <v>#N/A</v>
      </c>
      <c r="AE973" s="324" t="e">
        <f t="shared" ca="1" si="440"/>
        <v>#N/A</v>
      </c>
      <c r="AG973" s="306">
        <f t="shared" ca="1" si="462"/>
        <v>-0.12352292779700846</v>
      </c>
      <c r="AH973" s="304">
        <f t="shared" ca="1" si="463"/>
        <v>-9.9224763569666106</v>
      </c>
    </row>
    <row r="974" spans="1:34" x14ac:dyDescent="0.2">
      <c r="A974" s="347">
        <f t="shared" ca="1" si="441"/>
        <v>1E-4</v>
      </c>
      <c r="B974" s="304">
        <f t="shared" ca="1" si="442"/>
        <v>60.90410000000066</v>
      </c>
      <c r="D974" s="306">
        <f t="shared" ca="1" si="443"/>
        <v>-0.47074976420716774</v>
      </c>
      <c r="E974" s="307">
        <f t="shared" ca="1" si="444"/>
        <v>0.10131825288837248</v>
      </c>
      <c r="F974" s="304">
        <f t="shared" ca="1" si="445"/>
        <v>0.48152957216505016</v>
      </c>
      <c r="G974" s="306">
        <f t="shared" ca="1" si="446"/>
        <v>7.8886354874827722</v>
      </c>
      <c r="H974" s="307">
        <f t="shared" ca="1" si="447"/>
        <v>-166.09087172815043</v>
      </c>
      <c r="I974" s="304">
        <f t="shared" ca="1" si="448"/>
        <v>166.27810511691337</v>
      </c>
      <c r="J974" s="306">
        <f t="shared" ca="1" si="449"/>
        <v>1416.7607064577739</v>
      </c>
      <c r="K974" s="307">
        <f t="shared" ca="1" si="450"/>
        <v>-2.3774993138489142</v>
      </c>
      <c r="L974" s="304">
        <f t="shared" ca="1" si="435"/>
        <v>1416.7627013250024</v>
      </c>
      <c r="M974" s="306">
        <f t="shared" ca="1" si="451"/>
        <v>-1.5233360929225166</v>
      </c>
      <c r="N974" s="304">
        <f t="shared" ca="1" si="452"/>
        <v>-87.28072890440879</v>
      </c>
      <c r="P974" s="310">
        <f t="shared" ca="1" si="453"/>
        <v>23</v>
      </c>
      <c r="Q974" s="304">
        <f t="shared" ca="1" si="454"/>
        <v>0</v>
      </c>
      <c r="R974" s="306">
        <f t="shared" ca="1" si="455"/>
        <v>0</v>
      </c>
      <c r="S974" s="307">
        <f t="shared" ca="1" si="456"/>
        <v>5.6519999999999806</v>
      </c>
      <c r="T974" s="304">
        <f t="shared" ca="1" si="436"/>
        <v>55.446119999999816</v>
      </c>
      <c r="U974" s="311">
        <f t="shared" ca="1" si="437"/>
        <v>0</v>
      </c>
      <c r="V974" s="306">
        <f t="shared" ca="1" si="438"/>
        <v>1.2252912782916436</v>
      </c>
      <c r="W974" s="304">
        <f t="shared" ca="1" si="439"/>
        <v>56.082005997880344</v>
      </c>
      <c r="Y974" s="314" t="str">
        <f t="shared" ca="1" si="457"/>
        <v/>
      </c>
      <c r="Z974" s="315" t="str">
        <f t="shared" ca="1" si="458"/>
        <v/>
      </c>
      <c r="AA974" s="316" t="str">
        <f t="shared" ca="1" si="459"/>
        <v/>
      </c>
      <c r="AC974" s="310" t="e">
        <f t="shared" ca="1" si="460"/>
        <v>#N/A</v>
      </c>
      <c r="AD974" s="323" t="e">
        <f t="shared" ca="1" si="461"/>
        <v>#N/A</v>
      </c>
      <c r="AE974" s="324" t="e">
        <f t="shared" ca="1" si="440"/>
        <v>#N/A</v>
      </c>
      <c r="AG974" s="306">
        <f t="shared" ca="1" si="462"/>
        <v>-0.12353780364722944</v>
      </c>
      <c r="AH974" s="304">
        <f t="shared" ca="1" si="463"/>
        <v>-9.922491363087163</v>
      </c>
    </row>
    <row r="975" spans="1:34" x14ac:dyDescent="0.2">
      <c r="A975" s="347">
        <f t="shared" ca="1" si="441"/>
        <v>1E-4</v>
      </c>
      <c r="B975" s="304">
        <f t="shared" ca="1" si="442"/>
        <v>60.904200000000664</v>
      </c>
      <c r="D975" s="306">
        <f t="shared" ca="1" si="443"/>
        <v>-0.47074770194571836</v>
      </c>
      <c r="E975" s="307">
        <f t="shared" ca="1" si="444"/>
        <v>0.10133337371846807</v>
      </c>
      <c r="F975" s="304">
        <f t="shared" ca="1" si="445"/>
        <v>0.48153073787281908</v>
      </c>
      <c r="G975" s="306">
        <f t="shared" ca="1" si="446"/>
        <v>7.8885884127125774</v>
      </c>
      <c r="H975" s="307">
        <f t="shared" ca="1" si="447"/>
        <v>-166.09086159481305</v>
      </c>
      <c r="I975" s="304">
        <f t="shared" ca="1" si="448"/>
        <v>166.27809276165195</v>
      </c>
      <c r="J975" s="306">
        <f t="shared" ca="1" si="449"/>
        <v>1416.7607064577739</v>
      </c>
      <c r="K975" s="307">
        <f t="shared" ca="1" si="450"/>
        <v>-2.3941084005150626</v>
      </c>
      <c r="L975" s="304">
        <f t="shared" ca="1" si="435"/>
        <v>1416.7627292944164</v>
      </c>
      <c r="M975" s="306">
        <f t="shared" ca="1" si="451"/>
        <v>-1.5233363728211611</v>
      </c>
      <c r="N975" s="304">
        <f t="shared" ca="1" si="452"/>
        <v>-87.280744941419812</v>
      </c>
      <c r="P975" s="310">
        <f t="shared" ca="1" si="453"/>
        <v>23</v>
      </c>
      <c r="Q975" s="304">
        <f t="shared" ca="1" si="454"/>
        <v>0</v>
      </c>
      <c r="R975" s="306">
        <f t="shared" ca="1" si="455"/>
        <v>0</v>
      </c>
      <c r="S975" s="307">
        <f t="shared" ca="1" si="456"/>
        <v>5.6519999999999806</v>
      </c>
      <c r="T975" s="304">
        <f t="shared" ca="1" si="436"/>
        <v>55.446119999999816</v>
      </c>
      <c r="U975" s="311">
        <f t="shared" ca="1" si="437"/>
        <v>0</v>
      </c>
      <c r="V975" s="306">
        <f t="shared" ca="1" si="438"/>
        <v>1.2252933133902659</v>
      </c>
      <c r="W975" s="304">
        <f t="shared" ca="1" si="439"/>
        <v>56.082090810710767</v>
      </c>
      <c r="Y975" s="314" t="str">
        <f t="shared" ca="1" si="457"/>
        <v/>
      </c>
      <c r="Z975" s="315" t="str">
        <f t="shared" ca="1" si="458"/>
        <v/>
      </c>
      <c r="AA975" s="316" t="str">
        <f t="shared" ca="1" si="459"/>
        <v/>
      </c>
      <c r="AC975" s="310" t="e">
        <f t="shared" ca="1" si="460"/>
        <v>#N/A</v>
      </c>
      <c r="AD975" s="323" t="e">
        <f t="shared" ca="1" si="461"/>
        <v>#N/A</v>
      </c>
      <c r="AE975" s="324" t="e">
        <f t="shared" ca="1" si="440"/>
        <v>#N/A</v>
      </c>
      <c r="AG975" s="306">
        <f t="shared" ca="1" si="462"/>
        <v>-0.12355267934301928</v>
      </c>
      <c r="AH975" s="304">
        <f t="shared" ca="1" si="463"/>
        <v>-9.9225063690517583</v>
      </c>
    </row>
    <row r="976" spans="1:34" x14ac:dyDescent="0.2">
      <c r="A976" s="347">
        <f t="shared" ca="1" si="441"/>
        <v>1E-4</v>
      </c>
      <c r="B976" s="304">
        <f t="shared" ca="1" si="442"/>
        <v>60.904300000000667</v>
      </c>
      <c r="D976" s="306">
        <f t="shared" ca="1" si="443"/>
        <v>-0.47074563968458494</v>
      </c>
      <c r="E976" s="307">
        <f t="shared" ca="1" si="444"/>
        <v>0.10134849439163851</v>
      </c>
      <c r="F976" s="304">
        <f t="shared" ca="1" si="445"/>
        <v>0.48153190402869578</v>
      </c>
      <c r="G976" s="306">
        <f t="shared" ca="1" si="446"/>
        <v>7.8885413381486087</v>
      </c>
      <c r="H976" s="307">
        <f t="shared" ca="1" si="447"/>
        <v>-166.0908514599636</v>
      </c>
      <c r="I976" s="304">
        <f t="shared" ca="1" si="448"/>
        <v>166.27808040490297</v>
      </c>
      <c r="J976" s="306">
        <f t="shared" ca="1" si="449"/>
        <v>1416.7607064577739</v>
      </c>
      <c r="K976" s="307">
        <f t="shared" ca="1" si="450"/>
        <v>-2.4107174861678016</v>
      </c>
      <c r="L976" s="304">
        <f t="shared" ca="1" si="435"/>
        <v>1416.762757458541</v>
      </c>
      <c r="M976" s="306">
        <f t="shared" ca="1" si="451"/>
        <v>-1.5233366527181769</v>
      </c>
      <c r="N976" s="304">
        <f t="shared" ca="1" si="452"/>
        <v>-87.280760978337526</v>
      </c>
      <c r="P976" s="310">
        <f t="shared" ca="1" si="453"/>
        <v>23</v>
      </c>
      <c r="Q976" s="304">
        <f t="shared" ca="1" si="454"/>
        <v>0</v>
      </c>
      <c r="R976" s="306">
        <f t="shared" ca="1" si="455"/>
        <v>0</v>
      </c>
      <c r="S976" s="307">
        <f t="shared" ca="1" si="456"/>
        <v>5.6519999999999806</v>
      </c>
      <c r="T976" s="304">
        <f t="shared" ca="1" si="436"/>
        <v>55.446119999999816</v>
      </c>
      <c r="U976" s="311">
        <f t="shared" ca="1" si="437"/>
        <v>0</v>
      </c>
      <c r="V976" s="306">
        <f t="shared" ca="1" si="438"/>
        <v>1.2252953484921443</v>
      </c>
      <c r="W976" s="304">
        <f t="shared" ca="1" si="439"/>
        <v>56.082175622659712</v>
      </c>
      <c r="Y976" s="314" t="str">
        <f t="shared" ca="1" si="457"/>
        <v/>
      </c>
      <c r="Z976" s="315" t="str">
        <f t="shared" ca="1" si="458"/>
        <v/>
      </c>
      <c r="AA976" s="316" t="str">
        <f t="shared" ca="1" si="459"/>
        <v/>
      </c>
      <c r="AC976" s="310" t="e">
        <f t="shared" ca="1" si="460"/>
        <v>#N/A</v>
      </c>
      <c r="AD976" s="323" t="e">
        <f t="shared" ca="1" si="461"/>
        <v>#N/A</v>
      </c>
      <c r="AE976" s="324" t="e">
        <f t="shared" ca="1" si="440"/>
        <v>#N/A</v>
      </c>
      <c r="AG976" s="306">
        <f t="shared" ca="1" si="462"/>
        <v>-0.12356755488437621</v>
      </c>
      <c r="AH976" s="304">
        <f t="shared" ca="1" si="463"/>
        <v>-9.9225213748603966</v>
      </c>
    </row>
    <row r="977" spans="1:34" x14ac:dyDescent="0.2">
      <c r="A977" s="347">
        <f t="shared" ca="1" si="441"/>
        <v>1E-4</v>
      </c>
      <c r="B977" s="304">
        <f t="shared" ca="1" si="442"/>
        <v>60.90440000000067</v>
      </c>
      <c r="D977" s="306">
        <f t="shared" ca="1" si="443"/>
        <v>-0.47074357742376755</v>
      </c>
      <c r="E977" s="307">
        <f t="shared" ca="1" si="444"/>
        <v>0.10136361490788026</v>
      </c>
      <c r="F977" s="304">
        <f t="shared" ca="1" si="445"/>
        <v>0.48153307063266138</v>
      </c>
      <c r="G977" s="306">
        <f t="shared" ca="1" si="446"/>
        <v>7.8884942637908662</v>
      </c>
      <c r="H977" s="307">
        <f t="shared" ca="1" si="447"/>
        <v>-166.09084132360212</v>
      </c>
      <c r="I977" s="304">
        <f t="shared" ca="1" si="448"/>
        <v>166.27806804666645</v>
      </c>
      <c r="J977" s="306">
        <f t="shared" ca="1" si="449"/>
        <v>1416.7607064577739</v>
      </c>
      <c r="K977" s="307">
        <f t="shared" ca="1" si="450"/>
        <v>-2.4273265708069798</v>
      </c>
      <c r="L977" s="304">
        <f t="shared" ca="1" si="435"/>
        <v>1416.762785817376</v>
      </c>
      <c r="M977" s="306">
        <f t="shared" ca="1" si="451"/>
        <v>-1.523336932613564</v>
      </c>
      <c r="N977" s="304">
        <f t="shared" ca="1" si="452"/>
        <v>-87.280777015161902</v>
      </c>
      <c r="P977" s="310">
        <f t="shared" ca="1" si="453"/>
        <v>23</v>
      </c>
      <c r="Q977" s="304">
        <f t="shared" ca="1" si="454"/>
        <v>0</v>
      </c>
      <c r="R977" s="306">
        <f t="shared" ca="1" si="455"/>
        <v>0</v>
      </c>
      <c r="S977" s="307">
        <f t="shared" ca="1" si="456"/>
        <v>5.6519999999999806</v>
      </c>
      <c r="T977" s="304">
        <f t="shared" ca="1" si="436"/>
        <v>55.446119999999816</v>
      </c>
      <c r="U977" s="311">
        <f t="shared" ca="1" si="437"/>
        <v>0</v>
      </c>
      <c r="V977" s="306">
        <f t="shared" ca="1" si="438"/>
        <v>1.2252973835972794</v>
      </c>
      <c r="W977" s="304">
        <f t="shared" ca="1" si="439"/>
        <v>56.082260433727207</v>
      </c>
      <c r="Y977" s="314" t="str">
        <f t="shared" ca="1" si="457"/>
        <v/>
      </c>
      <c r="Z977" s="315" t="str">
        <f t="shared" ca="1" si="458"/>
        <v/>
      </c>
      <c r="AA977" s="316" t="str">
        <f t="shared" ca="1" si="459"/>
        <v/>
      </c>
      <c r="AC977" s="310" t="e">
        <f t="shared" ca="1" si="460"/>
        <v>#N/A</v>
      </c>
      <c r="AD977" s="323" t="e">
        <f t="shared" ca="1" si="461"/>
        <v>#N/A</v>
      </c>
      <c r="AE977" s="324" t="e">
        <f t="shared" ca="1" si="440"/>
        <v>#N/A</v>
      </c>
      <c r="AG977" s="306">
        <f t="shared" ca="1" si="462"/>
        <v>-0.123582430271302</v>
      </c>
      <c r="AH977" s="304">
        <f t="shared" ca="1" si="463"/>
        <v>-9.9225363805130762</v>
      </c>
    </row>
    <row r="978" spans="1:34" x14ac:dyDescent="0.2">
      <c r="A978" s="347">
        <f t="shared" ca="1" si="441"/>
        <v>1E-4</v>
      </c>
      <c r="B978" s="304">
        <f t="shared" ca="1" si="442"/>
        <v>60.904500000000674</v>
      </c>
      <c r="D978" s="306">
        <f t="shared" ca="1" si="443"/>
        <v>-0.47074151516326651</v>
      </c>
      <c r="E978" s="307">
        <f t="shared" ca="1" si="444"/>
        <v>0.10137873526719865</v>
      </c>
      <c r="F978" s="304">
        <f t="shared" ca="1" si="445"/>
        <v>0.48153423768469944</v>
      </c>
      <c r="G978" s="306">
        <f t="shared" ca="1" si="446"/>
        <v>7.8884471896393498</v>
      </c>
      <c r="H978" s="307">
        <f t="shared" ca="1" si="447"/>
        <v>-166.0908311857286</v>
      </c>
      <c r="I978" s="304">
        <f t="shared" ca="1" si="448"/>
        <v>166.27805568694242</v>
      </c>
      <c r="J978" s="306">
        <f t="shared" ca="1" si="449"/>
        <v>1416.7607064577739</v>
      </c>
      <c r="K978" s="307">
        <f t="shared" ca="1" si="450"/>
        <v>-2.4439356544324462</v>
      </c>
      <c r="L978" s="304">
        <f t="shared" ca="1" si="435"/>
        <v>1416.7628143709214</v>
      </c>
      <c r="M978" s="306">
        <f t="shared" ca="1" si="451"/>
        <v>-1.5233372125073226</v>
      </c>
      <c r="N978" s="304">
        <f t="shared" ca="1" si="452"/>
        <v>-87.280793051892985</v>
      </c>
      <c r="P978" s="310">
        <f t="shared" ca="1" si="453"/>
        <v>23</v>
      </c>
      <c r="Q978" s="304">
        <f t="shared" ca="1" si="454"/>
        <v>0</v>
      </c>
      <c r="R978" s="306">
        <f t="shared" ca="1" si="455"/>
        <v>0</v>
      </c>
      <c r="S978" s="307">
        <f t="shared" ca="1" si="456"/>
        <v>5.6519999999999806</v>
      </c>
      <c r="T978" s="304">
        <f t="shared" ca="1" si="436"/>
        <v>55.446119999999816</v>
      </c>
      <c r="U978" s="311">
        <f t="shared" ca="1" si="437"/>
        <v>0</v>
      </c>
      <c r="V978" s="306">
        <f t="shared" ca="1" si="438"/>
        <v>1.2252994187056705</v>
      </c>
      <c r="W978" s="304">
        <f t="shared" ca="1" si="439"/>
        <v>56.082345243913252</v>
      </c>
      <c r="Y978" s="314" t="str">
        <f t="shared" ca="1" si="457"/>
        <v/>
      </c>
      <c r="Z978" s="315" t="str">
        <f t="shared" ca="1" si="458"/>
        <v/>
      </c>
      <c r="AA978" s="316" t="str">
        <f t="shared" ca="1" si="459"/>
        <v/>
      </c>
      <c r="AC978" s="310" t="e">
        <f t="shared" ca="1" si="460"/>
        <v>#N/A</v>
      </c>
      <c r="AD978" s="323" t="e">
        <f t="shared" ca="1" si="461"/>
        <v>#N/A</v>
      </c>
      <c r="AE978" s="324" t="e">
        <f t="shared" ca="1" si="440"/>
        <v>#N/A</v>
      </c>
      <c r="AG978" s="306">
        <f t="shared" ca="1" si="462"/>
        <v>-0.12359730550380021</v>
      </c>
      <c r="AH978" s="304">
        <f t="shared" ca="1" si="463"/>
        <v>-9.9225513860098022</v>
      </c>
    </row>
    <row r="979" spans="1:34" x14ac:dyDescent="0.2">
      <c r="A979" s="347">
        <f t="shared" ca="1" si="441"/>
        <v>1E-4</v>
      </c>
      <c r="B979" s="304">
        <f t="shared" ca="1" si="442"/>
        <v>60.904600000000677</v>
      </c>
      <c r="D979" s="306">
        <f t="shared" ca="1" si="443"/>
        <v>-0.47073945290308</v>
      </c>
      <c r="E979" s="307">
        <f t="shared" ca="1" si="444"/>
        <v>0.10139385546959723</v>
      </c>
      <c r="F979" s="304">
        <f t="shared" ca="1" si="445"/>
        <v>0.48153540518479077</v>
      </c>
      <c r="G979" s="306">
        <f t="shared" ca="1" si="446"/>
        <v>7.8884001156940595</v>
      </c>
      <c r="H979" s="307">
        <f t="shared" ca="1" si="447"/>
        <v>-166.09082104634305</v>
      </c>
      <c r="I979" s="304">
        <f t="shared" ca="1" si="448"/>
        <v>166.27804332573089</v>
      </c>
      <c r="J979" s="306">
        <f t="shared" ca="1" si="449"/>
        <v>1416.7607064577739</v>
      </c>
      <c r="K979" s="307">
        <f t="shared" ca="1" si="450"/>
        <v>-2.4605447370440499</v>
      </c>
      <c r="L979" s="304">
        <f t="shared" ca="1" si="435"/>
        <v>1416.762843119177</v>
      </c>
      <c r="M979" s="306">
        <f t="shared" ca="1" si="451"/>
        <v>-1.5233374923994523</v>
      </c>
      <c r="N979" s="304">
        <f t="shared" ca="1" si="452"/>
        <v>-87.280809088530731</v>
      </c>
      <c r="P979" s="310">
        <f t="shared" ca="1" si="453"/>
        <v>23</v>
      </c>
      <c r="Q979" s="304">
        <f t="shared" ca="1" si="454"/>
        <v>0</v>
      </c>
      <c r="R979" s="306">
        <f t="shared" ca="1" si="455"/>
        <v>0</v>
      </c>
      <c r="S979" s="307">
        <f t="shared" ca="1" si="456"/>
        <v>5.6519999999999806</v>
      </c>
      <c r="T979" s="304">
        <f t="shared" ca="1" si="436"/>
        <v>55.446119999999816</v>
      </c>
      <c r="U979" s="311">
        <f t="shared" ca="1" si="437"/>
        <v>0</v>
      </c>
      <c r="V979" s="306">
        <f t="shared" ca="1" si="438"/>
        <v>1.2253014538173181</v>
      </c>
      <c r="W979" s="304">
        <f t="shared" ca="1" si="439"/>
        <v>56.082430053217855</v>
      </c>
      <c r="Y979" s="314" t="str">
        <f t="shared" ca="1" si="457"/>
        <v/>
      </c>
      <c r="Z979" s="315" t="str">
        <f t="shared" ca="1" si="458"/>
        <v/>
      </c>
      <c r="AA979" s="316" t="str">
        <f t="shared" ca="1" si="459"/>
        <v/>
      </c>
      <c r="AC979" s="310" t="e">
        <f t="shared" ca="1" si="460"/>
        <v>#N/A</v>
      </c>
      <c r="AD979" s="323" t="e">
        <f t="shared" ca="1" si="461"/>
        <v>#N/A</v>
      </c>
      <c r="AE979" s="324" t="e">
        <f t="shared" ca="1" si="440"/>
        <v>#N/A</v>
      </c>
      <c r="AG979" s="306">
        <f t="shared" ca="1" si="462"/>
        <v>-0.12361218058186907</v>
      </c>
      <c r="AH979" s="304">
        <f t="shared" ca="1" si="463"/>
        <v>-9.9225663913505748</v>
      </c>
    </row>
    <row r="980" spans="1:34" x14ac:dyDescent="0.2">
      <c r="A980" s="347">
        <f t="shared" ca="1" si="441"/>
        <v>1E-4</v>
      </c>
      <c r="B980" s="304">
        <f t="shared" ca="1" si="442"/>
        <v>60.90470000000068</v>
      </c>
      <c r="D980" s="306">
        <f t="shared" ca="1" si="443"/>
        <v>-0.47073739064321257</v>
      </c>
      <c r="E980" s="307">
        <f t="shared" ca="1" si="444"/>
        <v>0.10140897551507067</v>
      </c>
      <c r="F980" s="304">
        <f t="shared" ca="1" si="445"/>
        <v>0.4815365731329207</v>
      </c>
      <c r="G980" s="306">
        <f t="shared" ca="1" si="446"/>
        <v>7.8883530419549954</v>
      </c>
      <c r="H980" s="307">
        <f t="shared" ca="1" si="447"/>
        <v>-166.09081090544549</v>
      </c>
      <c r="I980" s="304">
        <f t="shared" ca="1" si="448"/>
        <v>166.27803096303182</v>
      </c>
      <c r="J980" s="306">
        <f t="shared" ca="1" si="449"/>
        <v>1416.7607064577739</v>
      </c>
      <c r="K980" s="307">
        <f t="shared" ca="1" si="450"/>
        <v>-2.4771538186416393</v>
      </c>
      <c r="L980" s="304">
        <f t="shared" ca="1" si="435"/>
        <v>1416.7628720621431</v>
      </c>
      <c r="M980" s="306">
        <f t="shared" ca="1" si="451"/>
        <v>-1.5233377722899535</v>
      </c>
      <c r="N980" s="304">
        <f t="shared" ca="1" si="452"/>
        <v>-87.280825125075182</v>
      </c>
      <c r="P980" s="310">
        <f t="shared" ca="1" si="453"/>
        <v>23</v>
      </c>
      <c r="Q980" s="304">
        <f t="shared" ca="1" si="454"/>
        <v>0</v>
      </c>
      <c r="R980" s="306">
        <f t="shared" ca="1" si="455"/>
        <v>0</v>
      </c>
      <c r="S980" s="307">
        <f t="shared" ca="1" si="456"/>
        <v>5.6519999999999806</v>
      </c>
      <c r="T980" s="304">
        <f t="shared" ca="1" si="436"/>
        <v>55.446119999999816</v>
      </c>
      <c r="U980" s="311">
        <f t="shared" ca="1" si="437"/>
        <v>0</v>
      </c>
      <c r="V980" s="306">
        <f t="shared" ca="1" si="438"/>
        <v>1.2253034889322223</v>
      </c>
      <c r="W980" s="304">
        <f t="shared" ca="1" si="439"/>
        <v>56.082514861641002</v>
      </c>
      <c r="Y980" s="314" t="str">
        <f t="shared" ca="1" si="457"/>
        <v/>
      </c>
      <c r="Z980" s="315" t="str">
        <f t="shared" ca="1" si="458"/>
        <v/>
      </c>
      <c r="AA980" s="316" t="str">
        <f t="shared" ca="1" si="459"/>
        <v/>
      </c>
      <c r="AC980" s="310" t="e">
        <f t="shared" ca="1" si="460"/>
        <v>#N/A</v>
      </c>
      <c r="AD980" s="323" t="e">
        <f t="shared" ca="1" si="461"/>
        <v>#N/A</v>
      </c>
      <c r="AE980" s="324" t="e">
        <f t="shared" ca="1" si="440"/>
        <v>#N/A</v>
      </c>
      <c r="AG980" s="306">
        <f t="shared" ca="1" si="462"/>
        <v>-0.12362705550551034</v>
      </c>
      <c r="AH980" s="304">
        <f t="shared" ca="1" si="463"/>
        <v>-9.9225813965353939</v>
      </c>
    </row>
    <row r="981" spans="1:34" x14ac:dyDescent="0.2">
      <c r="A981" s="347">
        <f t="shared" ca="1" si="441"/>
        <v>1E-4</v>
      </c>
      <c r="B981" s="304">
        <f t="shared" ca="1" si="442"/>
        <v>60.904800000000684</v>
      </c>
      <c r="D981" s="306">
        <f t="shared" ca="1" si="443"/>
        <v>-0.47073532838366</v>
      </c>
      <c r="E981" s="307">
        <f t="shared" ca="1" si="444"/>
        <v>0.10142409540362252</v>
      </c>
      <c r="F981" s="304">
        <f t="shared" ca="1" si="445"/>
        <v>0.48153774152906781</v>
      </c>
      <c r="G981" s="306">
        <f t="shared" ca="1" si="446"/>
        <v>7.8883059684221575</v>
      </c>
      <c r="H981" s="307">
        <f t="shared" ca="1" si="447"/>
        <v>-166.09080076303596</v>
      </c>
      <c r="I981" s="304">
        <f t="shared" ca="1" si="448"/>
        <v>166.27801859884531</v>
      </c>
      <c r="J981" s="306">
        <f t="shared" ca="1" si="449"/>
        <v>1416.7607064577739</v>
      </c>
      <c r="K981" s="307">
        <f t="shared" ca="1" si="450"/>
        <v>-2.4937628992250636</v>
      </c>
      <c r="L981" s="304">
        <f t="shared" ca="1" si="435"/>
        <v>1416.762901199819</v>
      </c>
      <c r="M981" s="306">
        <f t="shared" ca="1" si="451"/>
        <v>-1.523338052178826</v>
      </c>
      <c r="N981" s="304">
        <f t="shared" ca="1" si="452"/>
        <v>-87.280841161526311</v>
      </c>
      <c r="P981" s="310">
        <f t="shared" ca="1" si="453"/>
        <v>23</v>
      </c>
      <c r="Q981" s="304">
        <f t="shared" ca="1" si="454"/>
        <v>0</v>
      </c>
      <c r="R981" s="306">
        <f t="shared" ca="1" si="455"/>
        <v>0</v>
      </c>
      <c r="S981" s="307">
        <f t="shared" ca="1" si="456"/>
        <v>5.6519999999999806</v>
      </c>
      <c r="T981" s="304">
        <f t="shared" ca="1" si="436"/>
        <v>55.446119999999816</v>
      </c>
      <c r="U981" s="311">
        <f t="shared" ca="1" si="437"/>
        <v>0</v>
      </c>
      <c r="V981" s="306">
        <f t="shared" ca="1" si="438"/>
        <v>1.2253055240503825</v>
      </c>
      <c r="W981" s="304">
        <f t="shared" ca="1" si="439"/>
        <v>56.082599669182699</v>
      </c>
      <c r="Y981" s="314" t="str">
        <f t="shared" ca="1" si="457"/>
        <v/>
      </c>
      <c r="Z981" s="315" t="str">
        <f t="shared" ca="1" si="458"/>
        <v/>
      </c>
      <c r="AA981" s="316" t="str">
        <f t="shared" ca="1" si="459"/>
        <v/>
      </c>
      <c r="AC981" s="310" t="e">
        <f t="shared" ca="1" si="460"/>
        <v>#N/A</v>
      </c>
      <c r="AD981" s="323" t="e">
        <f t="shared" ca="1" si="461"/>
        <v>#N/A</v>
      </c>
      <c r="AE981" s="324" t="e">
        <f t="shared" ca="1" si="440"/>
        <v>#N/A</v>
      </c>
      <c r="AG981" s="306">
        <f t="shared" ca="1" si="462"/>
        <v>-0.12364193027472403</v>
      </c>
      <c r="AH981" s="304">
        <f t="shared" ca="1" si="463"/>
        <v>-9.9225964015642596</v>
      </c>
    </row>
    <row r="982" spans="1:34" x14ac:dyDescent="0.2">
      <c r="A982" s="347">
        <f t="shared" ca="1" si="441"/>
        <v>1E-4</v>
      </c>
      <c r="B982" s="304">
        <f t="shared" ca="1" si="442"/>
        <v>60.904900000000687</v>
      </c>
      <c r="D982" s="306">
        <f t="shared" ca="1" si="443"/>
        <v>-0.47073326612442468</v>
      </c>
      <c r="E982" s="307">
        <f t="shared" ca="1" si="444"/>
        <v>0.10143921513525278</v>
      </c>
      <c r="F982" s="304">
        <f t="shared" ca="1" si="445"/>
        <v>0.48153891037321639</v>
      </c>
      <c r="G982" s="306">
        <f t="shared" ca="1" si="446"/>
        <v>7.8882588950955448</v>
      </c>
      <c r="H982" s="307">
        <f t="shared" ca="1" si="447"/>
        <v>-166.09079061911444</v>
      </c>
      <c r="I982" s="304">
        <f t="shared" ca="1" si="448"/>
        <v>166.27800623317134</v>
      </c>
      <c r="J982" s="306">
        <f t="shared" ca="1" si="449"/>
        <v>1416.7607064577739</v>
      </c>
      <c r="K982" s="307">
        <f t="shared" ca="1" si="450"/>
        <v>-2.5103719787941712</v>
      </c>
      <c r="L982" s="304">
        <f t="shared" ca="1" si="435"/>
        <v>1416.7629305322055</v>
      </c>
      <c r="M982" s="306">
        <f t="shared" ca="1" si="451"/>
        <v>-1.5233383320660701</v>
      </c>
      <c r="N982" s="304">
        <f t="shared" ca="1" si="452"/>
        <v>-87.280857197884131</v>
      </c>
      <c r="P982" s="310">
        <f t="shared" ca="1" si="453"/>
        <v>23</v>
      </c>
      <c r="Q982" s="304">
        <f t="shared" ca="1" si="454"/>
        <v>0</v>
      </c>
      <c r="R982" s="306">
        <f t="shared" ca="1" si="455"/>
        <v>0</v>
      </c>
      <c r="S982" s="307">
        <f t="shared" ca="1" si="456"/>
        <v>5.6519999999999806</v>
      </c>
      <c r="T982" s="304">
        <f t="shared" ca="1" si="436"/>
        <v>55.446119999999816</v>
      </c>
      <c r="U982" s="311">
        <f t="shared" ca="1" si="437"/>
        <v>0</v>
      </c>
      <c r="V982" s="306">
        <f t="shared" ca="1" si="438"/>
        <v>1.2253075591717988</v>
      </c>
      <c r="W982" s="304">
        <f t="shared" ca="1" si="439"/>
        <v>56.082684475842974</v>
      </c>
      <c r="Y982" s="314" t="str">
        <f t="shared" ca="1" si="457"/>
        <v/>
      </c>
      <c r="Z982" s="315" t="str">
        <f t="shared" ca="1" si="458"/>
        <v/>
      </c>
      <c r="AA982" s="316" t="str">
        <f t="shared" ca="1" si="459"/>
        <v/>
      </c>
      <c r="AC982" s="310" t="e">
        <f t="shared" ca="1" si="460"/>
        <v>#N/A</v>
      </c>
      <c r="AD982" s="323" t="e">
        <f t="shared" ca="1" si="461"/>
        <v>#N/A</v>
      </c>
      <c r="AE982" s="324" t="e">
        <f t="shared" ca="1" si="440"/>
        <v>#N/A</v>
      </c>
      <c r="AG982" s="306">
        <f t="shared" ca="1" si="462"/>
        <v>-0.12365680488951014</v>
      </c>
      <c r="AH982" s="304">
        <f t="shared" ca="1" si="463"/>
        <v>-9.9226114064371718</v>
      </c>
    </row>
    <row r="983" spans="1:34" x14ac:dyDescent="0.2">
      <c r="A983" s="347">
        <f t="shared" ca="1" si="441"/>
        <v>1E-4</v>
      </c>
      <c r="B983" s="304">
        <f t="shared" ca="1" si="442"/>
        <v>60.90500000000069</v>
      </c>
      <c r="D983" s="306">
        <f t="shared" ca="1" si="443"/>
        <v>-0.47073120386550482</v>
      </c>
      <c r="E983" s="307">
        <f t="shared" ca="1" si="444"/>
        <v>0.10145433470996146</v>
      </c>
      <c r="F983" s="304">
        <f t="shared" ca="1" si="445"/>
        <v>0.48154007966534662</v>
      </c>
      <c r="G983" s="306">
        <f t="shared" ca="1" si="446"/>
        <v>7.8882118219751582</v>
      </c>
      <c r="H983" s="307">
        <f t="shared" ca="1" si="447"/>
        <v>-166.09078047368098</v>
      </c>
      <c r="I983" s="304">
        <f t="shared" ca="1" si="448"/>
        <v>166.27799386600992</v>
      </c>
      <c r="J983" s="306">
        <f t="shared" ca="1" si="449"/>
        <v>1416.7607064577739</v>
      </c>
      <c r="K983" s="307">
        <f t="shared" ca="1" si="450"/>
        <v>-2.5269810573488107</v>
      </c>
      <c r="L983" s="304">
        <f t="shared" ca="1" si="435"/>
        <v>1416.7629600593018</v>
      </c>
      <c r="M983" s="306">
        <f t="shared" ca="1" si="451"/>
        <v>-1.5233386119516854</v>
      </c>
      <c r="N983" s="304">
        <f t="shared" ca="1" si="452"/>
        <v>-87.280873234148643</v>
      </c>
      <c r="P983" s="310">
        <f t="shared" ca="1" si="453"/>
        <v>23</v>
      </c>
      <c r="Q983" s="304">
        <f t="shared" ca="1" si="454"/>
        <v>0</v>
      </c>
      <c r="R983" s="306">
        <f t="shared" ca="1" si="455"/>
        <v>0</v>
      </c>
      <c r="S983" s="307">
        <f t="shared" ca="1" si="456"/>
        <v>5.6519999999999806</v>
      </c>
      <c r="T983" s="304">
        <f t="shared" ca="1" si="436"/>
        <v>55.446119999999816</v>
      </c>
      <c r="U983" s="311">
        <f t="shared" ca="1" si="437"/>
        <v>0</v>
      </c>
      <c r="V983" s="306">
        <f t="shared" ca="1" si="438"/>
        <v>1.2253095942964713</v>
      </c>
      <c r="W983" s="304">
        <f t="shared" ca="1" si="439"/>
        <v>56.082769281621822</v>
      </c>
      <c r="Y983" s="314" t="str">
        <f t="shared" ca="1" si="457"/>
        <v/>
      </c>
      <c r="Z983" s="315" t="str">
        <f t="shared" ca="1" si="458"/>
        <v/>
      </c>
      <c r="AA983" s="316" t="str">
        <f t="shared" ca="1" si="459"/>
        <v/>
      </c>
      <c r="AC983" s="310" t="e">
        <f t="shared" ca="1" si="460"/>
        <v>#N/A</v>
      </c>
      <c r="AD983" s="323" t="e">
        <f t="shared" ca="1" si="461"/>
        <v>#N/A</v>
      </c>
      <c r="AE983" s="324" t="e">
        <f t="shared" ca="1" si="440"/>
        <v>#N/A</v>
      </c>
      <c r="AG983" s="306">
        <f t="shared" ca="1" si="462"/>
        <v>-0.12367167934987222</v>
      </c>
      <c r="AH983" s="304">
        <f t="shared" ca="1" si="463"/>
        <v>-9.922626411154134</v>
      </c>
    </row>
    <row r="984" spans="1:34" x14ac:dyDescent="0.2">
      <c r="A984" s="347">
        <f t="shared" ca="1" si="441"/>
        <v>1E-4</v>
      </c>
      <c r="B984" s="304">
        <f t="shared" ca="1" si="442"/>
        <v>60.905100000000694</v>
      </c>
      <c r="D984" s="306">
        <f t="shared" ca="1" si="443"/>
        <v>-0.47072914160690293</v>
      </c>
      <c r="E984" s="307">
        <f t="shared" ca="1" si="444"/>
        <v>0.10146945412775388</v>
      </c>
      <c r="F984" s="304">
        <f t="shared" ca="1" si="445"/>
        <v>0.48154124940544396</v>
      </c>
      <c r="G984" s="306">
        <f t="shared" ca="1" si="446"/>
        <v>7.8881647490609978</v>
      </c>
      <c r="H984" s="307">
        <f t="shared" ca="1" si="447"/>
        <v>-166.09077032673557</v>
      </c>
      <c r="I984" s="304">
        <f t="shared" ca="1" si="448"/>
        <v>166.27798149736108</v>
      </c>
      <c r="J984" s="306">
        <f t="shared" ca="1" si="449"/>
        <v>1416.7607064577739</v>
      </c>
      <c r="K984" s="307">
        <f t="shared" ca="1" si="450"/>
        <v>-2.5435901348888317</v>
      </c>
      <c r="L984" s="304">
        <f t="shared" ca="1" si="435"/>
        <v>1416.7629897811084</v>
      </c>
      <c r="M984" s="306">
        <f t="shared" ca="1" si="451"/>
        <v>-1.5233388918356723</v>
      </c>
      <c r="N984" s="304">
        <f t="shared" ca="1" si="452"/>
        <v>-87.280889270319847</v>
      </c>
      <c r="P984" s="310">
        <f t="shared" ca="1" si="453"/>
        <v>23</v>
      </c>
      <c r="Q984" s="304">
        <f t="shared" ca="1" si="454"/>
        <v>0</v>
      </c>
      <c r="R984" s="306">
        <f t="shared" ca="1" si="455"/>
        <v>0</v>
      </c>
      <c r="S984" s="307">
        <f t="shared" ca="1" si="456"/>
        <v>5.6519999999999806</v>
      </c>
      <c r="T984" s="304">
        <f t="shared" ca="1" si="436"/>
        <v>55.446119999999816</v>
      </c>
      <c r="U984" s="311">
        <f t="shared" ca="1" si="437"/>
        <v>0</v>
      </c>
      <c r="V984" s="306">
        <f t="shared" ca="1" si="438"/>
        <v>1.2253116294244006</v>
      </c>
      <c r="W984" s="304">
        <f t="shared" ca="1" si="439"/>
        <v>56.082854086519269</v>
      </c>
      <c r="Y984" s="314" t="str">
        <f t="shared" ca="1" si="457"/>
        <v/>
      </c>
      <c r="Z984" s="315" t="str">
        <f t="shared" ca="1" si="458"/>
        <v/>
      </c>
      <c r="AA984" s="316" t="str">
        <f t="shared" ca="1" si="459"/>
        <v/>
      </c>
      <c r="AC984" s="310" t="e">
        <f t="shared" ca="1" si="460"/>
        <v>#N/A</v>
      </c>
      <c r="AD984" s="323" t="e">
        <f t="shared" ca="1" si="461"/>
        <v>#N/A</v>
      </c>
      <c r="AE984" s="324" t="e">
        <f t="shared" ca="1" si="440"/>
        <v>#N/A</v>
      </c>
      <c r="AG984" s="306">
        <f t="shared" ca="1" si="462"/>
        <v>-0.12368655365581205</v>
      </c>
      <c r="AH984" s="304">
        <f t="shared" ca="1" si="463"/>
        <v>-9.9226414157151481</v>
      </c>
    </row>
    <row r="985" spans="1:34" x14ac:dyDescent="0.2">
      <c r="A985" s="347">
        <f t="shared" ca="1" si="441"/>
        <v>1E-4</v>
      </c>
      <c r="B985" s="304">
        <f t="shared" ca="1" si="442"/>
        <v>60.905200000000697</v>
      </c>
      <c r="D985" s="306">
        <f t="shared" ca="1" si="443"/>
        <v>-0.47072707934861702</v>
      </c>
      <c r="E985" s="307">
        <f t="shared" ca="1" si="444"/>
        <v>0.10148457338863359</v>
      </c>
      <c r="F985" s="304">
        <f t="shared" ca="1" si="445"/>
        <v>0.48154241959348931</v>
      </c>
      <c r="G985" s="306">
        <f t="shared" ca="1" si="446"/>
        <v>7.8881176763530627</v>
      </c>
      <c r="H985" s="307">
        <f t="shared" ca="1" si="447"/>
        <v>-166.09076017827823</v>
      </c>
      <c r="I985" s="304">
        <f t="shared" ca="1" si="448"/>
        <v>166.27796912722482</v>
      </c>
      <c r="J985" s="306">
        <f t="shared" ca="1" si="449"/>
        <v>1416.7607064577739</v>
      </c>
      <c r="K985" s="307">
        <f t="shared" ca="1" si="450"/>
        <v>-2.5601992114140826</v>
      </c>
      <c r="L985" s="304">
        <f t="shared" ca="1" si="435"/>
        <v>1416.7630196976249</v>
      </c>
      <c r="M985" s="306">
        <f t="shared" ca="1" si="451"/>
        <v>-1.5233391717180307</v>
      </c>
      <c r="N985" s="304">
        <f t="shared" ca="1" si="452"/>
        <v>-87.280905306397742</v>
      </c>
      <c r="P985" s="310">
        <f t="shared" ca="1" si="453"/>
        <v>23</v>
      </c>
      <c r="Q985" s="304">
        <f t="shared" ca="1" si="454"/>
        <v>0</v>
      </c>
      <c r="R985" s="306">
        <f t="shared" ca="1" si="455"/>
        <v>0</v>
      </c>
      <c r="S985" s="307">
        <f t="shared" ca="1" si="456"/>
        <v>5.6519999999999806</v>
      </c>
      <c r="T985" s="304">
        <f t="shared" ca="1" si="436"/>
        <v>55.446119999999816</v>
      </c>
      <c r="U985" s="311">
        <f t="shared" ca="1" si="437"/>
        <v>0</v>
      </c>
      <c r="V985" s="306">
        <f t="shared" ca="1" si="438"/>
        <v>1.2253136645555855</v>
      </c>
      <c r="W985" s="304">
        <f t="shared" ca="1" si="439"/>
        <v>56.08293889053526</v>
      </c>
      <c r="Y985" s="314" t="str">
        <f t="shared" ca="1" si="457"/>
        <v/>
      </c>
      <c r="Z985" s="315" t="str">
        <f t="shared" ca="1" si="458"/>
        <v/>
      </c>
      <c r="AA985" s="316" t="str">
        <f t="shared" ca="1" si="459"/>
        <v/>
      </c>
      <c r="AC985" s="310" t="e">
        <f t="shared" ca="1" si="460"/>
        <v>#N/A</v>
      </c>
      <c r="AD985" s="323" t="e">
        <f t="shared" ca="1" si="461"/>
        <v>#N/A</v>
      </c>
      <c r="AE985" s="324" t="e">
        <f t="shared" ca="1" si="440"/>
        <v>#N/A</v>
      </c>
      <c r="AG985" s="306">
        <f t="shared" ca="1" si="462"/>
        <v>-0.12370142780732962</v>
      </c>
      <c r="AH985" s="304">
        <f t="shared" ca="1" si="463"/>
        <v>-9.9226564201202159</v>
      </c>
    </row>
    <row r="986" spans="1:34" x14ac:dyDescent="0.2">
      <c r="A986" s="347">
        <f t="shared" ca="1" si="441"/>
        <v>1E-4</v>
      </c>
      <c r="B986" s="304">
        <f t="shared" ca="1" si="442"/>
        <v>60.9053000000007</v>
      </c>
      <c r="D986" s="306">
        <f t="shared" ca="1" si="443"/>
        <v>-0.47072501709064707</v>
      </c>
      <c r="E986" s="307">
        <f t="shared" ca="1" si="444"/>
        <v>0.10149969249258817</v>
      </c>
      <c r="F986" s="304">
        <f t="shared" ca="1" si="445"/>
        <v>0.48154359022946192</v>
      </c>
      <c r="G986" s="306">
        <f t="shared" ca="1" si="446"/>
        <v>7.8880706038513537</v>
      </c>
      <c r="H986" s="307">
        <f t="shared" ca="1" si="447"/>
        <v>-166.09075002830897</v>
      </c>
      <c r="I986" s="304">
        <f t="shared" ca="1" si="448"/>
        <v>166.27795675560114</v>
      </c>
      <c r="J986" s="306">
        <f t="shared" ca="1" si="449"/>
        <v>1416.7607064577739</v>
      </c>
      <c r="K986" s="307">
        <f t="shared" ca="1" si="450"/>
        <v>-2.576808286924412</v>
      </c>
      <c r="L986" s="304">
        <f t="shared" ca="1" si="435"/>
        <v>1416.7630498088515</v>
      </c>
      <c r="M986" s="306">
        <f t="shared" ca="1" si="451"/>
        <v>-1.5233394515987604</v>
      </c>
      <c r="N986" s="304">
        <f t="shared" ca="1" si="452"/>
        <v>-87.280921342382314</v>
      </c>
      <c r="P986" s="310">
        <f t="shared" ca="1" si="453"/>
        <v>23</v>
      </c>
      <c r="Q986" s="304">
        <f t="shared" ca="1" si="454"/>
        <v>0</v>
      </c>
      <c r="R986" s="306">
        <f t="shared" ca="1" si="455"/>
        <v>0</v>
      </c>
      <c r="S986" s="307">
        <f t="shared" ca="1" si="456"/>
        <v>5.6519999999999806</v>
      </c>
      <c r="T986" s="304">
        <f t="shared" ca="1" si="436"/>
        <v>55.446119999999816</v>
      </c>
      <c r="U986" s="311">
        <f t="shared" ca="1" si="437"/>
        <v>0</v>
      </c>
      <c r="V986" s="306">
        <f t="shared" ca="1" si="438"/>
        <v>1.2253156996900272</v>
      </c>
      <c r="W986" s="304">
        <f t="shared" ca="1" si="439"/>
        <v>56.083023693669851</v>
      </c>
      <c r="Y986" s="314" t="str">
        <f t="shared" ca="1" si="457"/>
        <v/>
      </c>
      <c r="Z986" s="315" t="str">
        <f t="shared" ca="1" si="458"/>
        <v/>
      </c>
      <c r="AA986" s="316" t="str">
        <f t="shared" ca="1" si="459"/>
        <v/>
      </c>
      <c r="AC986" s="310" t="e">
        <f t="shared" ca="1" si="460"/>
        <v>#N/A</v>
      </c>
      <c r="AD986" s="323" t="e">
        <f t="shared" ca="1" si="461"/>
        <v>#N/A</v>
      </c>
      <c r="AE986" s="324" t="e">
        <f t="shared" ca="1" si="440"/>
        <v>#N/A</v>
      </c>
      <c r="AG986" s="306">
        <f t="shared" ca="1" si="462"/>
        <v>-0.12371630180441784</v>
      </c>
      <c r="AH986" s="304">
        <f t="shared" ca="1" si="463"/>
        <v>-9.9226714243693301</v>
      </c>
    </row>
    <row r="987" spans="1:34" x14ac:dyDescent="0.2">
      <c r="A987" s="347">
        <f t="shared" ca="1" si="441"/>
        <v>1E-4</v>
      </c>
      <c r="B987" s="304">
        <f t="shared" ca="1" si="442"/>
        <v>60.905400000000704</v>
      </c>
      <c r="D987" s="306">
        <f t="shared" ca="1" si="443"/>
        <v>-0.4707229548329957</v>
      </c>
      <c r="E987" s="307">
        <f t="shared" ca="1" si="444"/>
        <v>0.10151481143962826</v>
      </c>
      <c r="F987" s="304">
        <f t="shared" ca="1" si="445"/>
        <v>0.48154476131334856</v>
      </c>
      <c r="G987" s="306">
        <f t="shared" ca="1" si="446"/>
        <v>7.88802353155587</v>
      </c>
      <c r="H987" s="307">
        <f t="shared" ca="1" si="447"/>
        <v>-166.09073987682783</v>
      </c>
      <c r="I987" s="304">
        <f t="shared" ca="1" si="448"/>
        <v>166.27794438249006</v>
      </c>
      <c r="J987" s="306">
        <f t="shared" ca="1" si="449"/>
        <v>1416.7607064577739</v>
      </c>
      <c r="K987" s="307">
        <f t="shared" ca="1" si="450"/>
        <v>-2.5934173614196689</v>
      </c>
      <c r="L987" s="304">
        <f t="shared" ca="1" si="435"/>
        <v>1416.763080114788</v>
      </c>
      <c r="M987" s="306">
        <f t="shared" ca="1" si="451"/>
        <v>-1.5233397314778614</v>
      </c>
      <c r="N987" s="304">
        <f t="shared" ca="1" si="452"/>
        <v>-87.280937378273578</v>
      </c>
      <c r="P987" s="310">
        <f t="shared" ca="1" si="453"/>
        <v>23</v>
      </c>
      <c r="Q987" s="304">
        <f t="shared" ca="1" si="454"/>
        <v>0</v>
      </c>
      <c r="R987" s="306">
        <f t="shared" ca="1" si="455"/>
        <v>0</v>
      </c>
      <c r="S987" s="307">
        <f t="shared" ca="1" si="456"/>
        <v>5.6519999999999806</v>
      </c>
      <c r="T987" s="304">
        <f t="shared" ca="1" si="436"/>
        <v>55.446119999999816</v>
      </c>
      <c r="U987" s="311">
        <f t="shared" ca="1" si="437"/>
        <v>0</v>
      </c>
      <c r="V987" s="306">
        <f t="shared" ca="1" si="438"/>
        <v>1.2253177348277249</v>
      </c>
      <c r="W987" s="304">
        <f t="shared" ca="1" si="439"/>
        <v>56.083108495923014</v>
      </c>
      <c r="Y987" s="314" t="str">
        <f t="shared" ca="1" si="457"/>
        <v/>
      </c>
      <c r="Z987" s="315" t="str">
        <f t="shared" ca="1" si="458"/>
        <v/>
      </c>
      <c r="AA987" s="316" t="str">
        <f t="shared" ca="1" si="459"/>
        <v/>
      </c>
      <c r="AC987" s="310" t="e">
        <f t="shared" ca="1" si="460"/>
        <v>#N/A</v>
      </c>
      <c r="AD987" s="323" t="e">
        <f t="shared" ca="1" si="461"/>
        <v>#N/A</v>
      </c>
      <c r="AE987" s="324" t="e">
        <f t="shared" ca="1" si="440"/>
        <v>#N/A</v>
      </c>
      <c r="AG987" s="306">
        <f t="shared" ca="1" si="462"/>
        <v>-0.12373117564708913</v>
      </c>
      <c r="AH987" s="304">
        <f t="shared" ca="1" si="463"/>
        <v>-9.922686428462498</v>
      </c>
    </row>
    <row r="988" spans="1:34" x14ac:dyDescent="0.2">
      <c r="A988" s="347">
        <f t="shared" ca="1" si="441"/>
        <v>1E-4</v>
      </c>
      <c r="B988" s="304">
        <f t="shared" ca="1" si="442"/>
        <v>60.905500000000707</v>
      </c>
      <c r="D988" s="306">
        <f t="shared" ca="1" si="443"/>
        <v>-0.47072089257566313</v>
      </c>
      <c r="E988" s="307">
        <f t="shared" ca="1" si="444"/>
        <v>0.10152993022975032</v>
      </c>
      <c r="F988" s="304">
        <f t="shared" ca="1" si="445"/>
        <v>0.48154593284513053</v>
      </c>
      <c r="G988" s="306">
        <f t="shared" ca="1" si="446"/>
        <v>7.8879764594666124</v>
      </c>
      <c r="H988" s="307">
        <f t="shared" ca="1" si="447"/>
        <v>-166.09072972383481</v>
      </c>
      <c r="I988" s="304">
        <f t="shared" ca="1" si="448"/>
        <v>166.27793200789168</v>
      </c>
      <c r="J988" s="306">
        <f t="shared" ca="1" si="449"/>
        <v>1416.7607064577739</v>
      </c>
      <c r="K988" s="307">
        <f t="shared" ca="1" si="450"/>
        <v>-2.610026434899702</v>
      </c>
      <c r="L988" s="304">
        <f t="shared" ca="1" si="435"/>
        <v>1416.7631106154345</v>
      </c>
      <c r="M988" s="306">
        <f t="shared" ca="1" si="451"/>
        <v>-1.5233400113553341</v>
      </c>
      <c r="N988" s="304">
        <f t="shared" ca="1" si="452"/>
        <v>-87.280953414071547</v>
      </c>
      <c r="P988" s="310">
        <f t="shared" ca="1" si="453"/>
        <v>23</v>
      </c>
      <c r="Q988" s="304">
        <f t="shared" ca="1" si="454"/>
        <v>0</v>
      </c>
      <c r="R988" s="306">
        <f t="shared" ca="1" si="455"/>
        <v>0</v>
      </c>
      <c r="S988" s="307">
        <f t="shared" ca="1" si="456"/>
        <v>5.6519999999999806</v>
      </c>
      <c r="T988" s="304">
        <f t="shared" ca="1" si="436"/>
        <v>55.446119999999816</v>
      </c>
      <c r="U988" s="311">
        <f t="shared" ca="1" si="437"/>
        <v>0</v>
      </c>
      <c r="V988" s="306">
        <f t="shared" ca="1" si="438"/>
        <v>1.2253197699686791</v>
      </c>
      <c r="W988" s="304">
        <f t="shared" ca="1" si="439"/>
        <v>56.08319329729482</v>
      </c>
      <c r="Y988" s="314" t="str">
        <f t="shared" ca="1" si="457"/>
        <v/>
      </c>
      <c r="Z988" s="315" t="str">
        <f t="shared" ca="1" si="458"/>
        <v/>
      </c>
      <c r="AA988" s="316" t="str">
        <f t="shared" ca="1" si="459"/>
        <v/>
      </c>
      <c r="AC988" s="310" t="e">
        <f t="shared" ca="1" si="460"/>
        <v>#N/A</v>
      </c>
      <c r="AD988" s="323" t="e">
        <f t="shared" ca="1" si="461"/>
        <v>#N/A</v>
      </c>
      <c r="AE988" s="324" t="e">
        <f t="shared" ca="1" si="440"/>
        <v>#N/A</v>
      </c>
      <c r="AG988" s="306">
        <f t="shared" ca="1" si="462"/>
        <v>-0.12374604933533639</v>
      </c>
      <c r="AH988" s="304">
        <f t="shared" ca="1" si="463"/>
        <v>-9.9227014323997178</v>
      </c>
    </row>
    <row r="989" spans="1:34" x14ac:dyDescent="0.2">
      <c r="A989" s="347">
        <f t="shared" ca="1" si="441"/>
        <v>1E-4</v>
      </c>
      <c r="B989" s="304">
        <f t="shared" ca="1" si="442"/>
        <v>60.90560000000071</v>
      </c>
      <c r="D989" s="306">
        <f t="shared" ca="1" si="443"/>
        <v>-0.47071883031864564</v>
      </c>
      <c r="E989" s="307">
        <f t="shared" ca="1" si="444"/>
        <v>0.10154504886296678</v>
      </c>
      <c r="F989" s="304">
        <f t="shared" ca="1" si="445"/>
        <v>0.48154710482478885</v>
      </c>
      <c r="G989" s="306">
        <f t="shared" ca="1" si="446"/>
        <v>7.887929387583581</v>
      </c>
      <c r="H989" s="307">
        <f t="shared" ca="1" si="447"/>
        <v>-166.09071956932993</v>
      </c>
      <c r="I989" s="304">
        <f t="shared" ca="1" si="448"/>
        <v>166.2779196318059</v>
      </c>
      <c r="J989" s="306">
        <f t="shared" ca="1" si="449"/>
        <v>1416.7607064577739</v>
      </c>
      <c r="K989" s="307">
        <f t="shared" ca="1" si="450"/>
        <v>-2.6266355073643601</v>
      </c>
      <c r="L989" s="304">
        <f t="shared" ca="1" si="435"/>
        <v>1416.7631413107906</v>
      </c>
      <c r="M989" s="306">
        <f t="shared" ca="1" si="451"/>
        <v>-1.5233402912311782</v>
      </c>
      <c r="N989" s="304">
        <f t="shared" ca="1" si="452"/>
        <v>-87.280969449776194</v>
      </c>
      <c r="P989" s="310">
        <f t="shared" ca="1" si="453"/>
        <v>23</v>
      </c>
      <c r="Q989" s="304">
        <f t="shared" ca="1" si="454"/>
        <v>0</v>
      </c>
      <c r="R989" s="306">
        <f t="shared" ca="1" si="455"/>
        <v>0</v>
      </c>
      <c r="S989" s="307">
        <f t="shared" ca="1" si="456"/>
        <v>5.6519999999999806</v>
      </c>
      <c r="T989" s="304">
        <f t="shared" ca="1" si="436"/>
        <v>55.446119999999816</v>
      </c>
      <c r="U989" s="311">
        <f t="shared" ca="1" si="437"/>
        <v>0</v>
      </c>
      <c r="V989" s="306">
        <f t="shared" ca="1" si="438"/>
        <v>1.2253218051128891</v>
      </c>
      <c r="W989" s="304">
        <f t="shared" ca="1" si="439"/>
        <v>56.08327809778519</v>
      </c>
      <c r="Y989" s="314" t="str">
        <f t="shared" ca="1" si="457"/>
        <v/>
      </c>
      <c r="Z989" s="315" t="str">
        <f t="shared" ca="1" si="458"/>
        <v/>
      </c>
      <c r="AA989" s="316" t="str">
        <f t="shared" ca="1" si="459"/>
        <v/>
      </c>
      <c r="AC989" s="310" t="e">
        <f t="shared" ca="1" si="460"/>
        <v>#N/A</v>
      </c>
      <c r="AD989" s="323" t="e">
        <f t="shared" ca="1" si="461"/>
        <v>#N/A</v>
      </c>
      <c r="AE989" s="324" t="e">
        <f t="shared" ca="1" si="440"/>
        <v>#N/A</v>
      </c>
      <c r="AG989" s="306">
        <f t="shared" ca="1" si="462"/>
        <v>-0.12376092286917029</v>
      </c>
      <c r="AH989" s="304">
        <f t="shared" ca="1" si="463"/>
        <v>-9.9227164361810001</v>
      </c>
    </row>
    <row r="990" spans="1:34" x14ac:dyDescent="0.2">
      <c r="A990" s="347">
        <f t="shared" ca="1" si="441"/>
        <v>1E-4</v>
      </c>
      <c r="B990" s="304">
        <f t="shared" ca="1" si="442"/>
        <v>60.905700000000714</v>
      </c>
      <c r="D990" s="306">
        <f t="shared" ca="1" si="443"/>
        <v>-0.47071676806194718</v>
      </c>
      <c r="E990" s="307">
        <f t="shared" ca="1" si="444"/>
        <v>0.10156016733926343</v>
      </c>
      <c r="F990" s="304">
        <f t="shared" ca="1" si="445"/>
        <v>0.48154827725230642</v>
      </c>
      <c r="G990" s="306">
        <f t="shared" ca="1" si="446"/>
        <v>7.8878823159067748</v>
      </c>
      <c r="H990" s="307">
        <f t="shared" ca="1" si="447"/>
        <v>-166.09070941331319</v>
      </c>
      <c r="I990" s="304">
        <f t="shared" ca="1" si="448"/>
        <v>166.27790725423279</v>
      </c>
      <c r="J990" s="306">
        <f t="shared" ca="1" si="449"/>
        <v>1416.7607064577739</v>
      </c>
      <c r="K990" s="307">
        <f t="shared" ca="1" si="450"/>
        <v>-2.6432445788134924</v>
      </c>
      <c r="L990" s="304">
        <f t="shared" ca="1" si="435"/>
        <v>1416.7631722008566</v>
      </c>
      <c r="M990" s="306">
        <f t="shared" ca="1" si="451"/>
        <v>-1.5233405711053938</v>
      </c>
      <c r="N990" s="304">
        <f t="shared" ca="1" si="452"/>
        <v>-87.280985485387546</v>
      </c>
      <c r="P990" s="310">
        <f t="shared" ca="1" si="453"/>
        <v>23</v>
      </c>
      <c r="Q990" s="304">
        <f t="shared" ca="1" si="454"/>
        <v>0</v>
      </c>
      <c r="R990" s="306">
        <f t="shared" ca="1" si="455"/>
        <v>0</v>
      </c>
      <c r="S990" s="307">
        <f t="shared" ca="1" si="456"/>
        <v>5.6519999999999806</v>
      </c>
      <c r="T990" s="304">
        <f t="shared" ca="1" si="436"/>
        <v>55.446119999999816</v>
      </c>
      <c r="U990" s="311">
        <f t="shared" ca="1" si="437"/>
        <v>0</v>
      </c>
      <c r="V990" s="306">
        <f t="shared" ca="1" si="438"/>
        <v>1.2253238402603552</v>
      </c>
      <c r="W990" s="304">
        <f t="shared" ca="1" si="439"/>
        <v>56.083362897394167</v>
      </c>
      <c r="Y990" s="314" t="str">
        <f t="shared" ca="1" si="457"/>
        <v/>
      </c>
      <c r="Z990" s="315" t="str">
        <f t="shared" ca="1" si="458"/>
        <v/>
      </c>
      <c r="AA990" s="316" t="str">
        <f t="shared" ca="1" si="459"/>
        <v/>
      </c>
      <c r="AC990" s="310" t="e">
        <f t="shared" ca="1" si="460"/>
        <v>#N/A</v>
      </c>
      <c r="AD990" s="323" t="e">
        <f t="shared" ca="1" si="461"/>
        <v>#N/A</v>
      </c>
      <c r="AE990" s="324" t="e">
        <f t="shared" ca="1" si="440"/>
        <v>#N/A</v>
      </c>
      <c r="AG990" s="306">
        <f t="shared" ca="1" si="462"/>
        <v>-0.12377579624857837</v>
      </c>
      <c r="AH990" s="304">
        <f t="shared" ca="1" si="463"/>
        <v>-9.9227314398063307</v>
      </c>
    </row>
    <row r="991" spans="1:34" x14ac:dyDescent="0.2">
      <c r="A991" s="347">
        <f t="shared" ca="1" si="441"/>
        <v>1E-4</v>
      </c>
      <c r="B991" s="304">
        <f t="shared" ca="1" si="442"/>
        <v>60.905800000000717</v>
      </c>
      <c r="D991" s="306">
        <f t="shared" ca="1" si="443"/>
        <v>-0.47071470580556607</v>
      </c>
      <c r="E991" s="307">
        <f t="shared" ca="1" si="444"/>
        <v>0.10157528565864737</v>
      </c>
      <c r="F991" s="304">
        <f t="shared" ca="1" si="445"/>
        <v>0.48154945012766492</v>
      </c>
      <c r="G991" s="306">
        <f t="shared" ca="1" si="446"/>
        <v>7.8878352444361939</v>
      </c>
      <c r="H991" s="307">
        <f t="shared" ca="1" si="447"/>
        <v>-166.09069925578461</v>
      </c>
      <c r="I991" s="304">
        <f t="shared" ca="1" si="448"/>
        <v>166.27789487517234</v>
      </c>
      <c r="J991" s="306">
        <f t="shared" ca="1" si="449"/>
        <v>1416.7607064577739</v>
      </c>
      <c r="K991" s="307">
        <f t="shared" ca="1" si="450"/>
        <v>-2.6598536492469473</v>
      </c>
      <c r="L991" s="304">
        <f t="shared" ca="1" si="435"/>
        <v>1416.7632032856325</v>
      </c>
      <c r="M991" s="306">
        <f t="shared" ca="1" si="451"/>
        <v>-1.5233408509779809</v>
      </c>
      <c r="N991" s="304">
        <f t="shared" ca="1" si="452"/>
        <v>-87.28100152090559</v>
      </c>
      <c r="P991" s="310">
        <f t="shared" ca="1" si="453"/>
        <v>23</v>
      </c>
      <c r="Q991" s="304">
        <f t="shared" ca="1" si="454"/>
        <v>0</v>
      </c>
      <c r="R991" s="306">
        <f t="shared" ca="1" si="455"/>
        <v>0</v>
      </c>
      <c r="S991" s="307">
        <f t="shared" ca="1" si="456"/>
        <v>5.6519999999999806</v>
      </c>
      <c r="T991" s="304">
        <f t="shared" ca="1" si="436"/>
        <v>55.446119999999816</v>
      </c>
      <c r="U991" s="311">
        <f t="shared" ca="1" si="437"/>
        <v>0</v>
      </c>
      <c r="V991" s="306">
        <f t="shared" ca="1" si="438"/>
        <v>1.2253258754110778</v>
      </c>
      <c r="W991" s="304">
        <f t="shared" ca="1" si="439"/>
        <v>56.083447696121759</v>
      </c>
      <c r="Y991" s="314" t="str">
        <f t="shared" ca="1" si="457"/>
        <v/>
      </c>
      <c r="Z991" s="315" t="str">
        <f t="shared" ca="1" si="458"/>
        <v/>
      </c>
      <c r="AA991" s="316" t="str">
        <f t="shared" ca="1" si="459"/>
        <v/>
      </c>
      <c r="AC991" s="310" t="e">
        <f t="shared" ca="1" si="460"/>
        <v>#N/A</v>
      </c>
      <c r="AD991" s="323" t="e">
        <f t="shared" ca="1" si="461"/>
        <v>#N/A</v>
      </c>
      <c r="AE991" s="324" t="e">
        <f t="shared" ca="1" si="440"/>
        <v>#N/A</v>
      </c>
      <c r="AG991" s="306">
        <f t="shared" ca="1" si="462"/>
        <v>-0.12379066947356954</v>
      </c>
      <c r="AH991" s="304">
        <f t="shared" ca="1" si="463"/>
        <v>-9.9227464432757184</v>
      </c>
    </row>
    <row r="992" spans="1:34" x14ac:dyDescent="0.2">
      <c r="A992" s="347">
        <f t="shared" ca="1" si="441"/>
        <v>1E-4</v>
      </c>
      <c r="B992" s="304">
        <f t="shared" ca="1" si="442"/>
        <v>60.90590000000072</v>
      </c>
      <c r="D992" s="306">
        <f t="shared" ca="1" si="443"/>
        <v>-0.4707126435495026</v>
      </c>
      <c r="E992" s="307">
        <f t="shared" ca="1" si="444"/>
        <v>0.10159040382111861</v>
      </c>
      <c r="F992" s="304">
        <f t="shared" ca="1" si="445"/>
        <v>0.48155062345084659</v>
      </c>
      <c r="G992" s="306">
        <f t="shared" ca="1" si="446"/>
        <v>7.8877881731718391</v>
      </c>
      <c r="H992" s="307">
        <f t="shared" ca="1" si="447"/>
        <v>-166.09068909674423</v>
      </c>
      <c r="I992" s="304">
        <f t="shared" ca="1" si="448"/>
        <v>166.27788249462458</v>
      </c>
      <c r="J992" s="306">
        <f t="shared" ca="1" si="449"/>
        <v>1416.7607064577739</v>
      </c>
      <c r="K992" s="307">
        <f t="shared" ca="1" si="450"/>
        <v>-2.676462718664574</v>
      </c>
      <c r="L992" s="304">
        <f t="shared" ca="1" si="435"/>
        <v>1416.763234565118</v>
      </c>
      <c r="M992" s="306">
        <f t="shared" ca="1" si="451"/>
        <v>-1.5233411308489395</v>
      </c>
      <c r="N992" s="304">
        <f t="shared" ca="1" si="452"/>
        <v>-87.281017556330326</v>
      </c>
      <c r="P992" s="310">
        <f t="shared" ca="1" si="453"/>
        <v>23</v>
      </c>
      <c r="Q992" s="304">
        <f t="shared" ca="1" si="454"/>
        <v>0</v>
      </c>
      <c r="R992" s="306">
        <f t="shared" ca="1" si="455"/>
        <v>0</v>
      </c>
      <c r="S992" s="307">
        <f t="shared" ca="1" si="456"/>
        <v>5.6519999999999806</v>
      </c>
      <c r="T992" s="304">
        <f t="shared" ca="1" si="436"/>
        <v>55.446119999999816</v>
      </c>
      <c r="U992" s="311">
        <f t="shared" ca="1" si="437"/>
        <v>0</v>
      </c>
      <c r="V992" s="306">
        <f t="shared" ca="1" si="438"/>
        <v>1.2253279105650565</v>
      </c>
      <c r="W992" s="304">
        <f t="shared" ca="1" si="439"/>
        <v>56.083532493967965</v>
      </c>
      <c r="Y992" s="314" t="str">
        <f t="shared" ca="1" si="457"/>
        <v/>
      </c>
      <c r="Z992" s="315" t="str">
        <f t="shared" ca="1" si="458"/>
        <v/>
      </c>
      <c r="AA992" s="316" t="str">
        <f t="shared" ca="1" si="459"/>
        <v/>
      </c>
      <c r="AC992" s="310" t="e">
        <f t="shared" ca="1" si="460"/>
        <v>#N/A</v>
      </c>
      <c r="AD992" s="323" t="e">
        <f t="shared" ca="1" si="461"/>
        <v>#N/A</v>
      </c>
      <c r="AE992" s="324" t="e">
        <f t="shared" ca="1" si="440"/>
        <v>#N/A</v>
      </c>
      <c r="AG992" s="306">
        <f t="shared" ca="1" si="462"/>
        <v>-0.123805542544142</v>
      </c>
      <c r="AH992" s="304">
        <f t="shared" ca="1" si="463"/>
        <v>-9.9227614465891634</v>
      </c>
    </row>
    <row r="993" spans="1:34" x14ac:dyDescent="0.2">
      <c r="A993" s="347">
        <f t="shared" ca="1" si="441"/>
        <v>1E-4</v>
      </c>
      <c r="B993" s="304">
        <f t="shared" ca="1" si="442"/>
        <v>60.906000000000724</v>
      </c>
      <c r="D993" s="306">
        <f t="shared" ca="1" si="443"/>
        <v>-0.47071058129375692</v>
      </c>
      <c r="E993" s="307">
        <f t="shared" ca="1" si="444"/>
        <v>0.10160552182667892</v>
      </c>
      <c r="F993" s="304">
        <f t="shared" ca="1" si="445"/>
        <v>0.48155179722183394</v>
      </c>
      <c r="G993" s="306">
        <f t="shared" ca="1" si="446"/>
        <v>7.8877411021137096</v>
      </c>
      <c r="H993" s="307">
        <f t="shared" ca="1" si="447"/>
        <v>-166.09067893619203</v>
      </c>
      <c r="I993" s="304">
        <f t="shared" ca="1" si="448"/>
        <v>166.27787011258954</v>
      </c>
      <c r="J993" s="306">
        <f t="shared" ca="1" si="449"/>
        <v>1416.7607064577739</v>
      </c>
      <c r="K993" s="307">
        <f t="shared" ca="1" si="450"/>
        <v>-2.6930717870662209</v>
      </c>
      <c r="L993" s="304">
        <f t="shared" ca="1" si="435"/>
        <v>1416.7632660393131</v>
      </c>
      <c r="M993" s="306">
        <f t="shared" ca="1" si="451"/>
        <v>-1.5233414107182697</v>
      </c>
      <c r="N993" s="304">
        <f t="shared" ca="1" si="452"/>
        <v>-87.281033591661753</v>
      </c>
      <c r="P993" s="310">
        <f t="shared" ca="1" si="453"/>
        <v>23</v>
      </c>
      <c r="Q993" s="304">
        <f t="shared" ca="1" si="454"/>
        <v>0</v>
      </c>
      <c r="R993" s="306">
        <f t="shared" ca="1" si="455"/>
        <v>0</v>
      </c>
      <c r="S993" s="307">
        <f t="shared" ca="1" si="456"/>
        <v>5.6519999999999806</v>
      </c>
      <c r="T993" s="304">
        <f t="shared" ca="1" si="436"/>
        <v>55.446119999999816</v>
      </c>
      <c r="U993" s="311">
        <f t="shared" ca="1" si="437"/>
        <v>0</v>
      </c>
      <c r="V993" s="306">
        <f t="shared" ca="1" si="438"/>
        <v>1.2253299457222915</v>
      </c>
      <c r="W993" s="304">
        <f t="shared" ca="1" si="439"/>
        <v>56.083617290932793</v>
      </c>
      <c r="Y993" s="314" t="str">
        <f t="shared" ca="1" si="457"/>
        <v/>
      </c>
      <c r="Z993" s="315" t="str">
        <f t="shared" ca="1" si="458"/>
        <v/>
      </c>
      <c r="AA993" s="316" t="str">
        <f t="shared" ca="1" si="459"/>
        <v/>
      </c>
      <c r="AC993" s="310" t="e">
        <f t="shared" ca="1" si="460"/>
        <v>#N/A</v>
      </c>
      <c r="AD993" s="323" t="e">
        <f t="shared" ca="1" si="461"/>
        <v>#N/A</v>
      </c>
      <c r="AE993" s="324" t="e">
        <f t="shared" ca="1" si="440"/>
        <v>#N/A</v>
      </c>
      <c r="AG993" s="306">
        <f t="shared" ca="1" si="462"/>
        <v>-0.12382041546029932</v>
      </c>
      <c r="AH993" s="304">
        <f t="shared" ca="1" si="463"/>
        <v>-9.9227764497466655</v>
      </c>
    </row>
    <row r="994" spans="1:34" x14ac:dyDescent="0.2">
      <c r="A994" s="347">
        <f t="shared" ca="1" si="441"/>
        <v>1E-4</v>
      </c>
      <c r="B994" s="304">
        <f t="shared" ca="1" si="442"/>
        <v>60.906100000000727</v>
      </c>
      <c r="D994" s="306">
        <f t="shared" ca="1" si="443"/>
        <v>-0.47070851903832955</v>
      </c>
      <c r="E994" s="307">
        <f t="shared" ca="1" si="444"/>
        <v>0.10162063967533186</v>
      </c>
      <c r="F994" s="304">
        <f t="shared" ca="1" si="445"/>
        <v>0.48155297144061016</v>
      </c>
      <c r="G994" s="306">
        <f t="shared" ca="1" si="446"/>
        <v>7.8876940312618053</v>
      </c>
      <c r="H994" s="307">
        <f t="shared" ca="1" si="447"/>
        <v>-166.09066877412806</v>
      </c>
      <c r="I994" s="304">
        <f t="shared" ca="1" si="448"/>
        <v>166.27785772906722</v>
      </c>
      <c r="J994" s="306">
        <f t="shared" ca="1" si="449"/>
        <v>1416.7607064577739</v>
      </c>
      <c r="K994" s="307">
        <f t="shared" ca="1" si="450"/>
        <v>-2.709680854451737</v>
      </c>
      <c r="L994" s="304">
        <f t="shared" ca="1" si="435"/>
        <v>1416.7632977082176</v>
      </c>
      <c r="M994" s="306">
        <f t="shared" ca="1" si="451"/>
        <v>-1.5233416905859714</v>
      </c>
      <c r="N994" s="304">
        <f t="shared" ca="1" si="452"/>
        <v>-87.281049626899886</v>
      </c>
      <c r="P994" s="310">
        <f t="shared" ca="1" si="453"/>
        <v>23</v>
      </c>
      <c r="Q994" s="304">
        <f t="shared" ca="1" si="454"/>
        <v>0</v>
      </c>
      <c r="R994" s="306">
        <f t="shared" ca="1" si="455"/>
        <v>0</v>
      </c>
      <c r="S994" s="307">
        <f t="shared" ca="1" si="456"/>
        <v>5.6519999999999806</v>
      </c>
      <c r="T994" s="304">
        <f t="shared" ca="1" si="436"/>
        <v>55.446119999999816</v>
      </c>
      <c r="U994" s="311">
        <f t="shared" ca="1" si="437"/>
        <v>0</v>
      </c>
      <c r="V994" s="306">
        <f t="shared" ca="1" si="438"/>
        <v>1.2253319808827825</v>
      </c>
      <c r="W994" s="304">
        <f t="shared" ca="1" si="439"/>
        <v>56.083702087016256</v>
      </c>
      <c r="Y994" s="314" t="str">
        <f t="shared" ca="1" si="457"/>
        <v/>
      </c>
      <c r="Z994" s="315" t="str">
        <f t="shared" ca="1" si="458"/>
        <v/>
      </c>
      <c r="AA994" s="316" t="str">
        <f t="shared" ca="1" si="459"/>
        <v/>
      </c>
      <c r="AC994" s="310" t="e">
        <f t="shared" ca="1" si="460"/>
        <v>#N/A</v>
      </c>
      <c r="AD994" s="323" t="e">
        <f t="shared" ca="1" si="461"/>
        <v>#N/A</v>
      </c>
      <c r="AE994" s="324" t="e">
        <f t="shared" ca="1" si="440"/>
        <v>#N/A</v>
      </c>
      <c r="AG994" s="306">
        <f t="shared" ca="1" si="462"/>
        <v>-0.12383528822204148</v>
      </c>
      <c r="AH994" s="304">
        <f t="shared" ca="1" si="463"/>
        <v>-9.9227914527482284</v>
      </c>
    </row>
    <row r="995" spans="1:34" x14ac:dyDescent="0.2">
      <c r="A995" s="347">
        <f t="shared" ca="1" si="441"/>
        <v>1E-4</v>
      </c>
      <c r="B995" s="304">
        <f t="shared" ca="1" si="442"/>
        <v>60.90620000000073</v>
      </c>
      <c r="D995" s="306">
        <f t="shared" ca="1" si="443"/>
        <v>-0.47070645678322059</v>
      </c>
      <c r="E995" s="307">
        <f t="shared" ca="1" si="444"/>
        <v>0.10163575736707564</v>
      </c>
      <c r="F995" s="304">
        <f t="shared" ca="1" si="445"/>
        <v>0.48155414610715686</v>
      </c>
      <c r="G995" s="306">
        <f t="shared" ca="1" si="446"/>
        <v>7.8876469606161272</v>
      </c>
      <c r="H995" s="307">
        <f t="shared" ca="1" si="447"/>
        <v>-166.09065861055234</v>
      </c>
      <c r="I995" s="304">
        <f t="shared" ca="1" si="448"/>
        <v>166.27784534405768</v>
      </c>
      <c r="J995" s="306">
        <f t="shared" ca="1" si="449"/>
        <v>1416.7607064577739</v>
      </c>
      <c r="K995" s="307">
        <f t="shared" ca="1" si="450"/>
        <v>-2.726289920820971</v>
      </c>
      <c r="L995" s="304">
        <f t="shared" ca="1" si="435"/>
        <v>1416.7633295718319</v>
      </c>
      <c r="M995" s="306">
        <f t="shared" ca="1" si="451"/>
        <v>-1.5233419704520446</v>
      </c>
      <c r="N995" s="304">
        <f t="shared" ca="1" si="452"/>
        <v>-87.281065662044711</v>
      </c>
      <c r="P995" s="310">
        <f t="shared" ca="1" si="453"/>
        <v>23</v>
      </c>
      <c r="Q995" s="304">
        <f t="shared" ca="1" si="454"/>
        <v>0</v>
      </c>
      <c r="R995" s="306">
        <f t="shared" ca="1" si="455"/>
        <v>0</v>
      </c>
      <c r="S995" s="307">
        <f t="shared" ca="1" si="456"/>
        <v>5.6519999999999806</v>
      </c>
      <c r="T995" s="304">
        <f t="shared" ca="1" si="436"/>
        <v>55.446119999999816</v>
      </c>
      <c r="U995" s="311">
        <f t="shared" ca="1" si="437"/>
        <v>0</v>
      </c>
      <c r="V995" s="306">
        <f t="shared" ca="1" si="438"/>
        <v>1.2253340160465298</v>
      </c>
      <c r="W995" s="304">
        <f t="shared" ca="1" si="439"/>
        <v>56.083786882218376</v>
      </c>
      <c r="Y995" s="314" t="str">
        <f t="shared" ca="1" si="457"/>
        <v/>
      </c>
      <c r="Z995" s="315" t="str">
        <f t="shared" ca="1" si="458"/>
        <v/>
      </c>
      <c r="AA995" s="316" t="str">
        <f t="shared" ca="1" si="459"/>
        <v/>
      </c>
      <c r="AC995" s="310" t="e">
        <f t="shared" ca="1" si="460"/>
        <v>#N/A</v>
      </c>
      <c r="AD995" s="323" t="e">
        <f t="shared" ca="1" si="461"/>
        <v>#N/A</v>
      </c>
      <c r="AE995" s="324" t="e">
        <f t="shared" ca="1" si="440"/>
        <v>#N/A</v>
      </c>
      <c r="AG995" s="306">
        <f t="shared" ca="1" si="462"/>
        <v>-0.12385016082936851</v>
      </c>
      <c r="AH995" s="304">
        <f t="shared" ca="1" si="463"/>
        <v>-9.922806455593852</v>
      </c>
    </row>
    <row r="996" spans="1:34" x14ac:dyDescent="0.2">
      <c r="A996" s="347">
        <f t="shared" ca="1" si="441"/>
        <v>1E-4</v>
      </c>
      <c r="B996" s="304">
        <f t="shared" ca="1" si="442"/>
        <v>60.906300000000734</v>
      </c>
      <c r="D996" s="306">
        <f t="shared" ca="1" si="443"/>
        <v>-0.47070439452843033</v>
      </c>
      <c r="E996" s="307">
        <f t="shared" ca="1" si="444"/>
        <v>0.1016508749019156</v>
      </c>
      <c r="F996" s="304">
        <f t="shared" ca="1" si="445"/>
        <v>0.4815553212214575</v>
      </c>
      <c r="G996" s="306">
        <f t="shared" ca="1" si="446"/>
        <v>7.8875998901766744</v>
      </c>
      <c r="H996" s="307">
        <f t="shared" ca="1" si="447"/>
        <v>-166.09064844546484</v>
      </c>
      <c r="I996" s="304">
        <f t="shared" ca="1" si="448"/>
        <v>166.27783295756083</v>
      </c>
      <c r="J996" s="306">
        <f t="shared" ca="1" si="449"/>
        <v>1416.7607064577739</v>
      </c>
      <c r="K996" s="307">
        <f t="shared" ca="1" si="450"/>
        <v>-2.7428989861737718</v>
      </c>
      <c r="L996" s="304">
        <f t="shared" ca="1" si="435"/>
        <v>1416.7633616301557</v>
      </c>
      <c r="M996" s="306">
        <f t="shared" ca="1" si="451"/>
        <v>-1.5233422503164893</v>
      </c>
      <c r="N996" s="304">
        <f t="shared" ca="1" si="452"/>
        <v>-87.281081697096226</v>
      </c>
      <c r="P996" s="310">
        <f t="shared" ca="1" si="453"/>
        <v>23</v>
      </c>
      <c r="Q996" s="304">
        <f t="shared" ca="1" si="454"/>
        <v>0</v>
      </c>
      <c r="R996" s="306">
        <f t="shared" ca="1" si="455"/>
        <v>0</v>
      </c>
      <c r="S996" s="307">
        <f t="shared" ca="1" si="456"/>
        <v>5.6519999999999806</v>
      </c>
      <c r="T996" s="304">
        <f t="shared" ca="1" si="436"/>
        <v>55.446119999999816</v>
      </c>
      <c r="U996" s="311">
        <f t="shared" ca="1" si="437"/>
        <v>0</v>
      </c>
      <c r="V996" s="306">
        <f t="shared" ca="1" si="438"/>
        <v>1.225336051213533</v>
      </c>
      <c r="W996" s="304">
        <f t="shared" ca="1" si="439"/>
        <v>56.083871676539083</v>
      </c>
      <c r="Y996" s="314" t="str">
        <f t="shared" ca="1" si="457"/>
        <v/>
      </c>
      <c r="Z996" s="315" t="str">
        <f t="shared" ca="1" si="458"/>
        <v/>
      </c>
      <c r="AA996" s="316" t="str">
        <f t="shared" ca="1" si="459"/>
        <v/>
      </c>
      <c r="AC996" s="310" t="e">
        <f t="shared" ca="1" si="460"/>
        <v>#N/A</v>
      </c>
      <c r="AD996" s="323" t="e">
        <f t="shared" ca="1" si="461"/>
        <v>#N/A</v>
      </c>
      <c r="AE996" s="324" t="e">
        <f t="shared" ca="1" si="440"/>
        <v>#N/A</v>
      </c>
      <c r="AG996" s="306">
        <f t="shared" ca="1" si="462"/>
        <v>-0.12386503328228571</v>
      </c>
      <c r="AH996" s="304">
        <f t="shared" ca="1" si="463"/>
        <v>-9.9228214582835399</v>
      </c>
    </row>
    <row r="997" spans="1:34" x14ac:dyDescent="0.2">
      <c r="A997" s="347">
        <f t="shared" ca="1" si="441"/>
        <v>1E-4</v>
      </c>
      <c r="B997" s="304">
        <f t="shared" ca="1" si="442"/>
        <v>60.906400000000737</v>
      </c>
      <c r="D997" s="306">
        <f t="shared" ca="1" si="443"/>
        <v>-0.47070233227395863</v>
      </c>
      <c r="E997" s="307">
        <f t="shared" ca="1" si="444"/>
        <v>0.1016659922798393</v>
      </c>
      <c r="F997" s="304">
        <f t="shared" ca="1" si="445"/>
        <v>0.48155649678349111</v>
      </c>
      <c r="G997" s="306">
        <f t="shared" ca="1" si="446"/>
        <v>7.8875528199434468</v>
      </c>
      <c r="H997" s="307">
        <f t="shared" ca="1" si="447"/>
        <v>-166.09063827886561</v>
      </c>
      <c r="I997" s="304">
        <f t="shared" ca="1" si="448"/>
        <v>166.27782056957679</v>
      </c>
      <c r="J997" s="306">
        <f t="shared" ca="1" si="449"/>
        <v>1416.7607064577739</v>
      </c>
      <c r="K997" s="307">
        <f t="shared" ca="1" si="450"/>
        <v>-2.7595080505099885</v>
      </c>
      <c r="L997" s="304">
        <f t="shared" ca="1" si="435"/>
        <v>1416.7633938831889</v>
      </c>
      <c r="M997" s="306">
        <f t="shared" ca="1" si="451"/>
        <v>-1.5233425301793058</v>
      </c>
      <c r="N997" s="304">
        <f t="shared" ca="1" si="452"/>
        <v>-87.281097732054462</v>
      </c>
      <c r="P997" s="310">
        <f t="shared" ca="1" si="453"/>
        <v>23</v>
      </c>
      <c r="Q997" s="304">
        <f t="shared" ca="1" si="454"/>
        <v>0</v>
      </c>
      <c r="R997" s="306">
        <f t="shared" ca="1" si="455"/>
        <v>0</v>
      </c>
      <c r="S997" s="307">
        <f t="shared" ca="1" si="456"/>
        <v>5.6519999999999806</v>
      </c>
      <c r="T997" s="304">
        <f t="shared" ca="1" si="436"/>
        <v>55.446119999999816</v>
      </c>
      <c r="U997" s="311">
        <f t="shared" ca="1" si="437"/>
        <v>0</v>
      </c>
      <c r="V997" s="306">
        <f t="shared" ca="1" si="438"/>
        <v>1.2253380863837924</v>
      </c>
      <c r="W997" s="304">
        <f t="shared" ca="1" si="439"/>
        <v>56.083956469978453</v>
      </c>
      <c r="Y997" s="314" t="str">
        <f t="shared" ca="1" si="457"/>
        <v/>
      </c>
      <c r="Z997" s="315" t="str">
        <f t="shared" ca="1" si="458"/>
        <v/>
      </c>
      <c r="AA997" s="316" t="str">
        <f t="shared" ca="1" si="459"/>
        <v/>
      </c>
      <c r="AC997" s="310" t="e">
        <f t="shared" ca="1" si="460"/>
        <v>#N/A</v>
      </c>
      <c r="AD997" s="323" t="e">
        <f t="shared" ca="1" si="461"/>
        <v>#N/A</v>
      </c>
      <c r="AE997" s="324" t="e">
        <f t="shared" ca="1" si="440"/>
        <v>#N/A</v>
      </c>
      <c r="AG997" s="306">
        <f t="shared" ca="1" si="462"/>
        <v>-0.12387990558078421</v>
      </c>
      <c r="AH997" s="304">
        <f t="shared" ca="1" si="463"/>
        <v>-9.9228364608172814</v>
      </c>
    </row>
    <row r="998" spans="1:34" x14ac:dyDescent="0.2">
      <c r="A998" s="347">
        <f t="shared" ca="1" si="441"/>
        <v>1E-4</v>
      </c>
      <c r="B998" s="304">
        <f t="shared" ca="1" si="442"/>
        <v>60.90650000000074</v>
      </c>
      <c r="D998" s="306">
        <f t="shared" ca="1" si="443"/>
        <v>-0.47070027001980397</v>
      </c>
      <c r="E998" s="307">
        <f t="shared" ca="1" si="444"/>
        <v>0.10168110950085918</v>
      </c>
      <c r="F998" s="304">
        <f t="shared" ca="1" si="445"/>
        <v>0.48155767279324091</v>
      </c>
      <c r="G998" s="306">
        <f t="shared" ca="1" si="446"/>
        <v>7.8875057499164445</v>
      </c>
      <c r="H998" s="307">
        <f t="shared" ca="1" si="447"/>
        <v>-166.09062811075466</v>
      </c>
      <c r="I998" s="304">
        <f t="shared" ca="1" si="448"/>
        <v>166.27780818010552</v>
      </c>
      <c r="J998" s="306">
        <f t="shared" ca="1" si="449"/>
        <v>1416.7607064577739</v>
      </c>
      <c r="K998" s="307">
        <f t="shared" ca="1" si="450"/>
        <v>-2.7761171138294696</v>
      </c>
      <c r="L998" s="304">
        <f t="shared" ca="1" si="435"/>
        <v>1416.7634263309315</v>
      </c>
      <c r="M998" s="306">
        <f t="shared" ca="1" si="451"/>
        <v>-1.5233428100404938</v>
      </c>
      <c r="N998" s="304">
        <f t="shared" ca="1" si="452"/>
        <v>-87.281113766919376</v>
      </c>
      <c r="P998" s="310">
        <f t="shared" ca="1" si="453"/>
        <v>23</v>
      </c>
      <c r="Q998" s="304">
        <f t="shared" ca="1" si="454"/>
        <v>0</v>
      </c>
      <c r="R998" s="306">
        <f t="shared" ca="1" si="455"/>
        <v>0</v>
      </c>
      <c r="S998" s="307">
        <f t="shared" ca="1" si="456"/>
        <v>5.6519999999999806</v>
      </c>
      <c r="T998" s="304">
        <f t="shared" ca="1" si="436"/>
        <v>55.446119999999816</v>
      </c>
      <c r="U998" s="311">
        <f t="shared" ca="1" si="437"/>
        <v>0</v>
      </c>
      <c r="V998" s="306">
        <f t="shared" ca="1" si="438"/>
        <v>1.2253401215573081</v>
      </c>
      <c r="W998" s="304">
        <f t="shared" ca="1" si="439"/>
        <v>56.084041262536481</v>
      </c>
      <c r="Y998" s="314" t="str">
        <f t="shared" ca="1" si="457"/>
        <v/>
      </c>
      <c r="Z998" s="315" t="str">
        <f t="shared" ca="1" si="458"/>
        <v/>
      </c>
      <c r="AA998" s="316" t="str">
        <f t="shared" ca="1" si="459"/>
        <v/>
      </c>
      <c r="AC998" s="310" t="e">
        <f t="shared" ca="1" si="460"/>
        <v>#N/A</v>
      </c>
      <c r="AD998" s="323" t="e">
        <f t="shared" ca="1" si="461"/>
        <v>#N/A</v>
      </c>
      <c r="AE998" s="324" t="e">
        <f t="shared" ca="1" si="440"/>
        <v>#N/A</v>
      </c>
      <c r="AG998" s="306">
        <f t="shared" ca="1" si="462"/>
        <v>-0.12389477772487112</v>
      </c>
      <c r="AH998" s="304">
        <f t="shared" ca="1" si="463"/>
        <v>-9.922851463195089</v>
      </c>
    </row>
    <row r="999" spans="1:34" x14ac:dyDescent="0.2">
      <c r="A999" s="347">
        <f t="shared" ca="1" si="441"/>
        <v>1E-4</v>
      </c>
      <c r="B999" s="304">
        <f t="shared" ca="1" si="442"/>
        <v>60.906600000000743</v>
      </c>
      <c r="D999" s="306">
        <f t="shared" ca="1" si="443"/>
        <v>-0.47069820776596882</v>
      </c>
      <c r="E999" s="307">
        <f t="shared" ca="1" si="444"/>
        <v>0.10169622656497701</v>
      </c>
      <c r="F999" s="304">
        <f t="shared" ca="1" si="445"/>
        <v>0.48155884925069159</v>
      </c>
      <c r="G999" s="306">
        <f t="shared" ca="1" si="446"/>
        <v>7.8874586800956683</v>
      </c>
      <c r="H999" s="307">
        <f t="shared" ca="1" si="447"/>
        <v>-166.090617941132</v>
      </c>
      <c r="I999" s="304">
        <f t="shared" ca="1" si="448"/>
        <v>166.27779578914706</v>
      </c>
      <c r="J999" s="306">
        <f t="shared" ca="1" si="449"/>
        <v>1416.7607064577739</v>
      </c>
      <c r="K999" s="307">
        <f t="shared" ca="1" si="450"/>
        <v>-2.7927261761320641</v>
      </c>
      <c r="L999" s="304">
        <f t="shared" ca="1" si="435"/>
        <v>1416.7634589733832</v>
      </c>
      <c r="M999" s="306">
        <f t="shared" ca="1" si="451"/>
        <v>-1.5233430899000533</v>
      </c>
      <c r="N999" s="304">
        <f t="shared" ca="1" si="452"/>
        <v>-87.281129801690994</v>
      </c>
      <c r="P999" s="310">
        <f t="shared" ca="1" si="453"/>
        <v>23</v>
      </c>
      <c r="Q999" s="304">
        <f t="shared" ca="1" si="454"/>
        <v>0</v>
      </c>
      <c r="R999" s="306">
        <f t="shared" ca="1" si="455"/>
        <v>0</v>
      </c>
      <c r="S999" s="307">
        <f t="shared" ca="1" si="456"/>
        <v>5.6519999999999806</v>
      </c>
      <c r="T999" s="304">
        <f t="shared" ca="1" si="436"/>
        <v>55.446119999999816</v>
      </c>
      <c r="U999" s="311">
        <f t="shared" ca="1" si="437"/>
        <v>0</v>
      </c>
      <c r="V999" s="306">
        <f t="shared" ca="1" si="438"/>
        <v>1.2253421567340796</v>
      </c>
      <c r="W999" s="304">
        <f t="shared" ca="1" si="439"/>
        <v>56.084126054213151</v>
      </c>
      <c r="Y999" s="314" t="str">
        <f t="shared" ca="1" si="457"/>
        <v/>
      </c>
      <c r="Z999" s="315" t="str">
        <f t="shared" ca="1" si="458"/>
        <v/>
      </c>
      <c r="AA999" s="316" t="str">
        <f t="shared" ca="1" si="459"/>
        <v/>
      </c>
      <c r="AC999" s="310" t="e">
        <f t="shared" ca="1" si="460"/>
        <v>#N/A</v>
      </c>
      <c r="AD999" s="323" t="e">
        <f t="shared" ca="1" si="461"/>
        <v>#N/A</v>
      </c>
      <c r="AE999" s="324" t="e">
        <f t="shared" ca="1" si="440"/>
        <v>#N/A</v>
      </c>
      <c r="AG999" s="306">
        <f t="shared" ca="1" si="462"/>
        <v>-0.12390964971454999</v>
      </c>
      <c r="AH999" s="304">
        <f t="shared" ca="1" si="463"/>
        <v>-9.9228664654169627</v>
      </c>
    </row>
    <row r="1000" spans="1:34" x14ac:dyDescent="0.2">
      <c r="A1000" s="347">
        <f t="shared" ca="1" si="441"/>
        <v>1E-4</v>
      </c>
      <c r="B1000" s="304">
        <f t="shared" ca="1" si="442"/>
        <v>60.906700000000747</v>
      </c>
      <c r="D1000" s="306">
        <f t="shared" ca="1" si="443"/>
        <v>-0.4706961455124532</v>
      </c>
      <c r="E1000" s="307">
        <f t="shared" ca="1" si="444"/>
        <v>0.10171134347218924</v>
      </c>
      <c r="F1000" s="304">
        <f t="shared" ca="1" si="445"/>
        <v>0.48156002615582427</v>
      </c>
      <c r="G1000" s="306">
        <f t="shared" ca="1" si="446"/>
        <v>7.8874116104811174</v>
      </c>
      <c r="H1000" s="307">
        <f t="shared" ca="1" si="447"/>
        <v>-166.09060776999766</v>
      </c>
      <c r="I1000" s="304">
        <f t="shared" ca="1" si="448"/>
        <v>166.27778339670144</v>
      </c>
      <c r="J1000" s="306">
        <f t="shared" ca="1" si="449"/>
        <v>1416.7607064577739</v>
      </c>
      <c r="K1000" s="307">
        <f t="shared" ca="1" si="450"/>
        <v>-2.8093352374176206</v>
      </c>
      <c r="L1000" s="304">
        <f t="shared" ca="1" si="435"/>
        <v>1416.7634918105446</v>
      </c>
      <c r="M1000" s="306">
        <f t="shared" ca="1" si="451"/>
        <v>-1.5233433697579843</v>
      </c>
      <c r="N1000" s="304">
        <f t="shared" ca="1" si="452"/>
        <v>-87.281145836369305</v>
      </c>
      <c r="P1000" s="310">
        <f t="shared" ca="1" si="453"/>
        <v>23</v>
      </c>
      <c r="Q1000" s="304">
        <f t="shared" ca="1" si="454"/>
        <v>0</v>
      </c>
      <c r="R1000" s="306">
        <f t="shared" ca="1" si="455"/>
        <v>0</v>
      </c>
      <c r="S1000" s="307">
        <f t="shared" ca="1" si="456"/>
        <v>5.6519999999999806</v>
      </c>
      <c r="T1000" s="304">
        <f t="shared" ca="1" si="436"/>
        <v>55.446119999999816</v>
      </c>
      <c r="U1000" s="311">
        <f t="shared" ca="1" si="437"/>
        <v>0</v>
      </c>
      <c r="V1000" s="306">
        <f t="shared" ca="1" si="438"/>
        <v>1.2253441919141073</v>
      </c>
      <c r="W1000" s="304">
        <f t="shared" ca="1" si="439"/>
        <v>56.084210845008492</v>
      </c>
      <c r="Y1000" s="314" t="str">
        <f t="shared" ca="1" si="457"/>
        <v/>
      </c>
      <c r="Z1000" s="315" t="str">
        <f t="shared" ca="1" si="458"/>
        <v/>
      </c>
      <c r="AA1000" s="316" t="str">
        <f t="shared" ca="1" si="459"/>
        <v/>
      </c>
      <c r="AC1000" s="310" t="e">
        <f t="shared" ca="1" si="460"/>
        <v>#N/A</v>
      </c>
      <c r="AD1000" s="323" t="e">
        <f t="shared" ca="1" si="461"/>
        <v>#N/A</v>
      </c>
      <c r="AE1000" s="324" t="e">
        <f t="shared" ca="1" si="440"/>
        <v>#N/A</v>
      </c>
      <c r="AG1000" s="306">
        <f t="shared" ca="1" si="462"/>
        <v>-0.12392452154981726</v>
      </c>
      <c r="AH1000" s="304">
        <f t="shared" ca="1" si="463"/>
        <v>-9.9228814674828989</v>
      </c>
    </row>
    <row r="1001" spans="1:34" x14ac:dyDescent="0.2">
      <c r="A1001" s="347">
        <f t="shared" ca="1" si="441"/>
        <v>1E-4</v>
      </c>
      <c r="B1001" s="304">
        <f t="shared" ca="1" si="442"/>
        <v>60.90680000000075</v>
      </c>
      <c r="D1001" s="306">
        <f t="shared" ca="1" si="443"/>
        <v>-0.47069408325925755</v>
      </c>
      <c r="E1001" s="307">
        <f t="shared" ca="1" si="444"/>
        <v>0.10172646022249943</v>
      </c>
      <c r="F1001" s="304">
        <f t="shared" ca="1" si="445"/>
        <v>0.48156120350862219</v>
      </c>
      <c r="G1001" s="306">
        <f t="shared" ca="1" si="446"/>
        <v>7.8873645410727917</v>
      </c>
      <c r="H1001" s="307">
        <f t="shared" ca="1" si="447"/>
        <v>-166.09059759735163</v>
      </c>
      <c r="I1001" s="304">
        <f t="shared" ca="1" si="448"/>
        <v>166.27777100276862</v>
      </c>
      <c r="J1001" s="306">
        <f t="shared" ca="1" si="449"/>
        <v>1416.7607064577739</v>
      </c>
      <c r="K1001" s="307">
        <f t="shared" ca="1" si="450"/>
        <v>-2.8259442976859881</v>
      </c>
      <c r="L1001" s="304">
        <f t="shared" ca="1" si="435"/>
        <v>1416.7635248424151</v>
      </c>
      <c r="M1001" s="306">
        <f t="shared" ca="1" si="451"/>
        <v>-1.5233436496142871</v>
      </c>
      <c r="N1001" s="304">
        <f t="shared" ca="1" si="452"/>
        <v>-87.281161870954335</v>
      </c>
      <c r="P1001" s="310">
        <f t="shared" ca="1" si="453"/>
        <v>23</v>
      </c>
      <c r="Q1001" s="304">
        <f t="shared" ca="1" si="454"/>
        <v>0</v>
      </c>
      <c r="R1001" s="306">
        <f t="shared" ca="1" si="455"/>
        <v>0</v>
      </c>
      <c r="S1001" s="307">
        <f t="shared" ca="1" si="456"/>
        <v>5.6519999999999806</v>
      </c>
      <c r="T1001" s="304">
        <f t="shared" ca="1" si="436"/>
        <v>55.446119999999816</v>
      </c>
      <c r="U1001" s="311">
        <f t="shared" ca="1" si="437"/>
        <v>0</v>
      </c>
      <c r="V1001" s="306">
        <f t="shared" ca="1" si="438"/>
        <v>1.2253462270973909</v>
      </c>
      <c r="W1001" s="304">
        <f t="shared" ca="1" si="439"/>
        <v>56.084295634922462</v>
      </c>
      <c r="Y1001" s="314" t="str">
        <f t="shared" ca="1" si="457"/>
        <v/>
      </c>
      <c r="Z1001" s="315" t="str">
        <f t="shared" ca="1" si="458"/>
        <v/>
      </c>
      <c r="AA1001" s="316" t="str">
        <f t="shared" ca="1" si="459"/>
        <v/>
      </c>
      <c r="AC1001" s="310" t="e">
        <f t="shared" ca="1" si="460"/>
        <v>#N/A</v>
      </c>
      <c r="AD1001" s="323" t="e">
        <f t="shared" ca="1" si="461"/>
        <v>#N/A</v>
      </c>
      <c r="AE1001" s="324" t="e">
        <f t="shared" ca="1" si="440"/>
        <v>#N/A</v>
      </c>
      <c r="AG1001" s="306">
        <f t="shared" ca="1" si="462"/>
        <v>-0.12393939323067826</v>
      </c>
      <c r="AH1001" s="304">
        <f t="shared" ca="1" si="463"/>
        <v>-9.9228964693929029</v>
      </c>
    </row>
    <row r="1002" spans="1:34" x14ac:dyDescent="0.2">
      <c r="A1002" s="347">
        <f t="shared" ca="1" si="441"/>
        <v>1E-4</v>
      </c>
      <c r="B1002" s="304">
        <f t="shared" ca="1" si="442"/>
        <v>60.906900000000753</v>
      </c>
      <c r="D1002" s="306">
        <f t="shared" ca="1" si="443"/>
        <v>-0.47069202100637947</v>
      </c>
      <c r="E1002" s="307">
        <f t="shared" ca="1" si="444"/>
        <v>0.10174157681590223</v>
      </c>
      <c r="F1002" s="304">
        <f t="shared" ca="1" si="445"/>
        <v>0.48156238130906376</v>
      </c>
      <c r="G1002" s="306">
        <f t="shared" ca="1" si="446"/>
        <v>7.8873174718706913</v>
      </c>
      <c r="H1002" s="307">
        <f t="shared" ca="1" si="447"/>
        <v>-166.09058742319394</v>
      </c>
      <c r="I1002" s="304">
        <f t="shared" ca="1" si="448"/>
        <v>166.27775860734863</v>
      </c>
      <c r="J1002" s="306">
        <f t="shared" ca="1" si="449"/>
        <v>1416.7607064577739</v>
      </c>
      <c r="K1002" s="307">
        <f t="shared" ca="1" si="450"/>
        <v>-2.8425533569370152</v>
      </c>
      <c r="L1002" s="304">
        <f t="shared" ca="1" si="435"/>
        <v>1416.7635580689946</v>
      </c>
      <c r="M1002" s="306">
        <f t="shared" ca="1" si="451"/>
        <v>-1.5233439294689617</v>
      </c>
      <c r="N1002" s="304">
        <f t="shared" ca="1" si="452"/>
        <v>-87.281177905446057</v>
      </c>
      <c r="P1002" s="310">
        <f t="shared" ca="1" si="453"/>
        <v>23</v>
      </c>
      <c r="Q1002" s="304">
        <f t="shared" ca="1" si="454"/>
        <v>0</v>
      </c>
      <c r="R1002" s="306">
        <f t="shared" ca="1" si="455"/>
        <v>0</v>
      </c>
      <c r="S1002" s="307">
        <f t="shared" ca="1" si="456"/>
        <v>5.6519999999999806</v>
      </c>
      <c r="T1002" s="304">
        <f t="shared" ca="1" si="436"/>
        <v>55.446119999999816</v>
      </c>
      <c r="U1002" s="311">
        <f t="shared" ca="1" si="437"/>
        <v>0</v>
      </c>
      <c r="V1002" s="306">
        <f t="shared" ca="1" si="438"/>
        <v>1.2253482622839309</v>
      </c>
      <c r="W1002" s="304">
        <f t="shared" ca="1" si="439"/>
        <v>56.084380423955125</v>
      </c>
      <c r="Y1002" s="314" t="str">
        <f t="shared" ca="1" si="457"/>
        <v/>
      </c>
      <c r="Z1002" s="315" t="str">
        <f t="shared" ca="1" si="458"/>
        <v/>
      </c>
      <c r="AA1002" s="316" t="str">
        <f t="shared" ca="1" si="459"/>
        <v/>
      </c>
      <c r="AC1002" s="310" t="e">
        <f t="shared" ca="1" si="460"/>
        <v>#N/A</v>
      </c>
      <c r="AD1002" s="323" t="e">
        <f t="shared" ca="1" si="461"/>
        <v>#N/A</v>
      </c>
      <c r="AE1002" s="324" t="e">
        <f t="shared" ca="1" si="440"/>
        <v>#N/A</v>
      </c>
      <c r="AG1002" s="306">
        <f t="shared" ca="1" si="462"/>
        <v>-0.12395426475712235</v>
      </c>
      <c r="AH1002" s="304">
        <f t="shared" ca="1" si="463"/>
        <v>-9.9229114711469659</v>
      </c>
    </row>
    <row r="1003" spans="1:34" x14ac:dyDescent="0.2">
      <c r="A1003" s="347">
        <f t="shared" ca="1" si="441"/>
        <v>1E-4</v>
      </c>
      <c r="B1003" s="304">
        <f t="shared" ca="1" si="442"/>
        <v>60.907000000000757</v>
      </c>
      <c r="D1003" s="306">
        <f t="shared" ca="1" si="443"/>
        <v>-0.4706899587538198</v>
      </c>
      <c r="E1003" s="307">
        <f t="shared" ca="1" si="444"/>
        <v>0.10175669325240655</v>
      </c>
      <c r="F1003" s="304">
        <f t="shared" ca="1" si="445"/>
        <v>0.48156355955713359</v>
      </c>
      <c r="G1003" s="306">
        <f t="shared" ca="1" si="446"/>
        <v>7.8872704028748162</v>
      </c>
      <c r="H1003" s="307">
        <f t="shared" ca="1" si="447"/>
        <v>-166.09057724752461</v>
      </c>
      <c r="I1003" s="304">
        <f t="shared" ca="1" si="448"/>
        <v>166.27774621044153</v>
      </c>
      <c r="J1003" s="306">
        <f t="shared" ca="1" si="449"/>
        <v>1416.7607064577739</v>
      </c>
      <c r="K1003" s="307">
        <f t="shared" ca="1" si="450"/>
        <v>-2.8591624151705513</v>
      </c>
      <c r="L1003" s="304">
        <f t="shared" ca="1" si="435"/>
        <v>1416.7635914902837</v>
      </c>
      <c r="M1003" s="306">
        <f t="shared" ca="1" si="451"/>
        <v>-1.5233442093220078</v>
      </c>
      <c r="N1003" s="304">
        <f t="shared" ca="1" si="452"/>
        <v>-87.281193939844485</v>
      </c>
      <c r="P1003" s="310">
        <f t="shared" ca="1" si="453"/>
        <v>23</v>
      </c>
      <c r="Q1003" s="304">
        <f t="shared" ca="1" si="454"/>
        <v>0</v>
      </c>
      <c r="R1003" s="306">
        <f t="shared" ca="1" si="455"/>
        <v>0</v>
      </c>
      <c r="S1003" s="307">
        <f t="shared" ca="1" si="456"/>
        <v>5.6519999999999806</v>
      </c>
      <c r="T1003" s="304">
        <f t="shared" ca="1" si="436"/>
        <v>55.446119999999816</v>
      </c>
      <c r="U1003" s="311">
        <f t="shared" ca="1" si="437"/>
        <v>0</v>
      </c>
      <c r="V1003" s="306">
        <f ca="1">Rho_moyen*(20000-Alt_rampe-pos_z)/(20000+Alt_rampe+pos_z)</f>
        <v>1.2253502974737271</v>
      </c>
      <c r="W1003" s="304">
        <f t="shared" ca="1" si="439"/>
        <v>56.084465212106473</v>
      </c>
      <c r="Y1003" s="314" t="str">
        <f t="shared" ca="1" si="457"/>
        <v/>
      </c>
      <c r="Z1003" s="315" t="str">
        <f t="shared" ca="1" si="458"/>
        <v/>
      </c>
      <c r="AA1003" s="316" t="str">
        <f t="shared" ca="1" si="459"/>
        <v/>
      </c>
      <c r="AC1003" s="310" t="e">
        <f t="shared" ca="1" si="460"/>
        <v>#N/A</v>
      </c>
      <c r="AD1003" s="323" t="e">
        <f t="shared" ca="1" si="461"/>
        <v>#N/A</v>
      </c>
      <c r="AE1003" s="324" t="e">
        <f t="shared" ca="1" si="440"/>
        <v>#N/A</v>
      </c>
      <c r="AG1003" s="306">
        <f t="shared" ca="1" si="462"/>
        <v>-0.12396913612916549</v>
      </c>
      <c r="AH1003" s="304">
        <f t="shared" ca="1" si="463"/>
        <v>-9.9229264727451021</v>
      </c>
    </row>
    <row r="1004" spans="1:34" x14ac:dyDescent="0.2">
      <c r="A1004" s="348">
        <f t="shared" ca="1" si="441"/>
        <v>1E-4</v>
      </c>
      <c r="B1004" s="305">
        <f t="shared" ca="1" si="442"/>
        <v>60.90710000000076</v>
      </c>
      <c r="D1004" s="308">
        <f t="shared" ca="1" si="443"/>
        <v>-0.47068789650158083</v>
      </c>
      <c r="E1004" s="309">
        <f t="shared" ca="1" si="444"/>
        <v>0.10177180953201237</v>
      </c>
      <c r="F1004" s="305">
        <f t="shared" ca="1" si="445"/>
        <v>0.48156473825281587</v>
      </c>
      <c r="G1004" s="308">
        <f t="shared" ca="1" si="446"/>
        <v>7.8872233340851663</v>
      </c>
      <c r="H1004" s="309">
        <f t="shared" ca="1" si="447"/>
        <v>-166.09056707034367</v>
      </c>
      <c r="I1004" s="305">
        <f t="shared" ca="1" si="448"/>
        <v>166.27773381204733</v>
      </c>
      <c r="J1004" s="308">
        <f t="shared" ca="1" si="449"/>
        <v>1416.7607064577739</v>
      </c>
      <c r="K1004" s="309">
        <f t="shared" ca="1" si="450"/>
        <v>-2.8757714723864445</v>
      </c>
      <c r="L1004" s="305">
        <f t="shared" ca="1" si="435"/>
        <v>1416.7636251062816</v>
      </c>
      <c r="M1004" s="308">
        <f t="shared" ca="1" si="451"/>
        <v>-1.5233444891734254</v>
      </c>
      <c r="N1004" s="305">
        <f t="shared" ca="1" si="452"/>
        <v>-87.281209974149604</v>
      </c>
      <c r="P1004" s="312">
        <f t="shared" ca="1" si="453"/>
        <v>23</v>
      </c>
      <c r="Q1004" s="305">
        <f t="shared" ca="1" si="454"/>
        <v>0</v>
      </c>
      <c r="R1004" s="308">
        <f t="shared" ca="1" si="455"/>
        <v>0</v>
      </c>
      <c r="S1004" s="309">
        <f t="shared" ca="1" si="456"/>
        <v>5.6519999999999806</v>
      </c>
      <c r="T1004" s="305">
        <f t="shared" ca="1" si="436"/>
        <v>55.446119999999816</v>
      </c>
      <c r="U1004" s="313">
        <f t="shared" ca="1" si="437"/>
        <v>0</v>
      </c>
      <c r="V1004" s="308">
        <f t="shared" ca="1" si="438"/>
        <v>1.2253523326667792</v>
      </c>
      <c r="W1004" s="305">
        <f ca="1">1/2*Rho*Sref*Cx*vit_xz^2</f>
        <v>56.084549999376499</v>
      </c>
      <c r="Y1004" s="317" t="str">
        <f ca="1">IF(AND(pos_z&lt;=0,K1003&gt;0),"Impact balistique","") &amp; IF(AND(H1005&lt;0,vit_z&gt;=0),"Apogée","") &amp; IF(AND(Poussee=0,Q1003&gt;0),"Fin de propulsion","") &amp; IF(AND(L1005&gt;L_rampe,pos_xz&lt;=L_rampe),"Sortie de rampe","")</f>
        <v/>
      </c>
      <c r="Z1004" s="318" t="str">
        <f t="shared" ca="1" si="458"/>
        <v/>
      </c>
      <c r="AA1004" s="319" t="str">
        <f t="shared" ca="1" si="459"/>
        <v/>
      </c>
      <c r="AC1004" s="312" t="e">
        <f t="shared" ca="1" si="460"/>
        <v>#N/A</v>
      </c>
      <c r="AD1004" s="325" t="e">
        <f t="shared" ca="1" si="461"/>
        <v>#N/A</v>
      </c>
      <c r="AE1004" s="326" t="e">
        <f t="shared" ca="1" si="440"/>
        <v>#N/A</v>
      </c>
      <c r="AG1004" s="308">
        <f t="shared" ca="1" si="462"/>
        <v>-0.12398400734680237</v>
      </c>
      <c r="AH1004" s="305">
        <f t="shared" ca="1" si="463"/>
        <v>-9.9229414741873079</v>
      </c>
    </row>
    <row r="1005" spans="1:34" x14ac:dyDescent="0.2">
      <c r="Y1005" s="303"/>
    </row>
    <row r="1010" spans="12:12" x14ac:dyDescent="0.2">
      <c r="L1010"/>
    </row>
    <row r="1034" spans="5:25" x14ac:dyDescent="0.2">
      <c r="E1034" s="300" t="s">
        <v>255</v>
      </c>
      <c r="J1034" s="301" t="s">
        <v>247</v>
      </c>
      <c r="T1034" s="300" t="s">
        <v>246</v>
      </c>
      <c r="Y1034" s="302" t="s">
        <v>249</v>
      </c>
    </row>
    <row r="1035" spans="5:25" x14ac:dyDescent="0.2">
      <c r="E1035" s="299" t="s">
        <v>259</v>
      </c>
    </row>
    <row r="1036" spans="5:25" x14ac:dyDescent="0.2">
      <c r="E1036" s="299"/>
      <c r="T1036" s="299" t="s">
        <v>252</v>
      </c>
    </row>
    <row r="1037" spans="5:25" x14ac:dyDescent="0.2">
      <c r="E1037" s="299"/>
      <c r="T1037" s="299" t="s">
        <v>256</v>
      </c>
    </row>
    <row r="1038" spans="5:25" x14ac:dyDescent="0.2">
      <c r="E1038" s="299"/>
      <c r="T1038" s="299" t="s">
        <v>257</v>
      </c>
    </row>
    <row r="1039" spans="5:25" x14ac:dyDescent="0.2">
      <c r="E1039" s="299"/>
      <c r="T1039" s="299" t="s">
        <v>263</v>
      </c>
    </row>
    <row r="1040" spans="5:25" x14ac:dyDescent="0.2">
      <c r="E1040" s="299" t="s">
        <v>258</v>
      </c>
      <c r="T1040" s="299" t="s">
        <v>248</v>
      </c>
    </row>
    <row r="1041" spans="5:20" x14ac:dyDescent="0.2">
      <c r="E1041" s="299"/>
      <c r="T1041" s="299" t="s">
        <v>264</v>
      </c>
    </row>
    <row r="1042" spans="5:20" x14ac:dyDescent="0.2">
      <c r="E1042" s="299"/>
      <c r="R1042" s="303"/>
      <c r="T1042" s="299"/>
    </row>
    <row r="1043" spans="5:20" x14ac:dyDescent="0.2">
      <c r="E1043" s="299"/>
    </row>
    <row r="1044" spans="5:20" x14ac:dyDescent="0.2">
      <c r="E1044" s="299"/>
    </row>
    <row r="1045" spans="5:20" x14ac:dyDescent="0.2">
      <c r="E1045" s="299" t="s">
        <v>261</v>
      </c>
      <c r="R1045" s="303"/>
      <c r="T1045" s="299"/>
    </row>
    <row r="1046" spans="5:20" x14ac:dyDescent="0.2">
      <c r="E1046" s="299"/>
    </row>
    <row r="1047" spans="5:20" x14ac:dyDescent="0.2">
      <c r="E1047" s="299"/>
    </row>
    <row r="1048" spans="5:20" x14ac:dyDescent="0.2">
      <c r="E1048" s="299"/>
      <c r="T1048" s="298" t="s">
        <v>254</v>
      </c>
    </row>
    <row r="1049" spans="5:20" x14ac:dyDescent="0.2">
      <c r="E1049" s="299"/>
    </row>
    <row r="1050" spans="5:20" x14ac:dyDescent="0.2">
      <c r="E1050" s="299" t="s">
        <v>262</v>
      </c>
    </row>
    <row r="1053" spans="5:20" x14ac:dyDescent="0.2">
      <c r="T1053" s="298" t="s">
        <v>267</v>
      </c>
    </row>
    <row r="1055" spans="5:20" x14ac:dyDescent="0.2">
      <c r="E1055" s="299" t="s">
        <v>251</v>
      </c>
    </row>
    <row r="1058" spans="5:20" x14ac:dyDescent="0.2">
      <c r="T1058" s="299" t="s">
        <v>268</v>
      </c>
    </row>
    <row r="1060" spans="5:20" x14ac:dyDescent="0.2">
      <c r="E1060" s="299" t="s">
        <v>260</v>
      </c>
    </row>
    <row r="1061" spans="5:20" x14ac:dyDescent="0.2">
      <c r="E1061" s="299"/>
    </row>
    <row r="1062" spans="5:20" x14ac:dyDescent="0.2">
      <c r="E1062" s="299"/>
    </row>
    <row r="1063" spans="5:20" x14ac:dyDescent="0.2">
      <c r="E1063" s="299"/>
    </row>
    <row r="1064" spans="5:20" x14ac:dyDescent="0.2">
      <c r="E1064" s="299"/>
    </row>
    <row r="1065" spans="5:20" x14ac:dyDescent="0.2">
      <c r="E1065" s="299" t="s">
        <v>250</v>
      </c>
    </row>
    <row r="1066" spans="5:20" x14ac:dyDescent="0.2">
      <c r="E1066" s="299"/>
    </row>
    <row r="1067" spans="5:20" x14ac:dyDescent="0.2">
      <c r="E1067" s="299"/>
    </row>
    <row r="1068" spans="5:20" x14ac:dyDescent="0.2">
      <c r="E1068" s="299"/>
    </row>
    <row r="1069" spans="5:20" x14ac:dyDescent="0.2">
      <c r="E1069" s="299"/>
    </row>
    <row r="1070" spans="5:20" x14ac:dyDescent="0.2">
      <c r="E1070" s="299" t="s">
        <v>253</v>
      </c>
    </row>
    <row r="1071" spans="5:20" x14ac:dyDescent="0.2">
      <c r="E1071" s="299"/>
    </row>
    <row r="1072" spans="5:20" x14ac:dyDescent="0.2">
      <c r="E1072" s="299"/>
    </row>
    <row r="1073" spans="5:5" x14ac:dyDescent="0.2">
      <c r="E1073" s="299"/>
    </row>
    <row r="1074" spans="5:5" x14ac:dyDescent="0.2">
      <c r="E1074" s="299"/>
    </row>
    <row r="1075" spans="5:5" x14ac:dyDescent="0.2">
      <c r="E1075" s="299" t="s">
        <v>265</v>
      </c>
    </row>
  </sheetData>
  <sheetProtection password="C6AC" sheet="1"/>
  <mergeCells count="5">
    <mergeCell ref="D1:N1"/>
    <mergeCell ref="P1:W1"/>
    <mergeCell ref="AG1:AH1"/>
    <mergeCell ref="Y2:AA2"/>
    <mergeCell ref="AC1:AE1"/>
  </mergeCells>
  <phoneticPr fontId="8" type="noConversion"/>
  <conditionalFormatting sqref="A4:XFD1004">
    <cfRule type="expression" dxfId="5" priority="7" stopIfTrue="1">
      <formula>OR($Y4="Sortie de rampe",$Z4="Para")</formula>
    </cfRule>
    <cfRule type="expression" dxfId="4" priority="8" stopIfTrue="1">
      <formula>OR($Y4="Fin de propulsion",$Y4="Impact balistique",$AA4="Satellite")</formula>
    </cfRule>
    <cfRule type="expression" dxfId="3" priority="9" stopIfTrue="1">
      <formula>$Y4="Apogée"</formula>
    </cfRule>
  </conditionalFormatting>
  <hyperlinks>
    <hyperlink ref="J1034" r:id="rId1" xr:uid="{00000000-0004-0000-0400-000000000000}"/>
    <hyperlink ref="Y1034" r:id="rId2" xr:uid="{00000000-0004-0000-0400-000001000000}"/>
  </hyperlinks>
  <pageMargins left="0.39370078740157483" right="0.39370078740157483" top="0.39370078740157483" bottom="0.39370078740157483" header="0" footer="0"/>
  <pageSetup paperSize="9" scale="29" firstPageNumber="0" fitToHeight="5" orientation="portrait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8">
    <pageSetUpPr fitToPage="1"/>
  </sheetPr>
  <dimension ref="A1:M79"/>
  <sheetViews>
    <sheetView showGridLines="0" workbookViewId="0">
      <selection activeCell="B80" sqref="B80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1.42578125" customWidth="1"/>
  </cols>
  <sheetData>
    <row r="1" spans="1:13" x14ac:dyDescent="0.2">
      <c r="A1" s="51"/>
      <c r="B1" s="52"/>
      <c r="C1" s="53"/>
      <c r="D1" s="52"/>
      <c r="E1" s="72"/>
      <c r="F1" s="72"/>
      <c r="G1" s="72"/>
      <c r="H1" s="72"/>
      <c r="I1" s="72"/>
      <c r="J1" s="72"/>
      <c r="K1" s="72"/>
      <c r="L1" s="72"/>
      <c r="M1" s="73"/>
    </row>
    <row r="2" spans="1:13" ht="12.75" customHeight="1" x14ac:dyDescent="0.2">
      <c r="A2" s="56"/>
      <c r="B2" s="2"/>
      <c r="C2" s="625" t="s">
        <v>280</v>
      </c>
      <c r="D2" s="625"/>
      <c r="M2" s="75"/>
    </row>
    <row r="3" spans="1:13" ht="12.75" customHeight="1" x14ac:dyDescent="0.2">
      <c r="A3" s="56"/>
      <c r="B3" s="2"/>
      <c r="C3" s="625"/>
      <c r="D3" s="625"/>
      <c r="M3" s="75"/>
    </row>
    <row r="4" spans="1:13" x14ac:dyDescent="0.2">
      <c r="A4" s="56"/>
      <c r="B4" s="2"/>
      <c r="C4" s="628" t="str">
        <f>IF(Lang="Français","Abaques de performance",IF(Lang="English","Performance charts",""))</f>
        <v>Abaques de performance</v>
      </c>
      <c r="D4" s="628"/>
      <c r="M4" s="75"/>
    </row>
    <row r="5" spans="1:13" x14ac:dyDescent="0.2">
      <c r="A5" s="56"/>
      <c r="B5" s="2"/>
      <c r="C5" s="628" t="str">
        <f>IF(Lang="Français","Calcul analytique simple",IF(Lang="English","Analytical computation",""))</f>
        <v>Calcul analytique simple</v>
      </c>
      <c r="D5" s="628"/>
      <c r="M5" s="75"/>
    </row>
    <row r="6" spans="1:13" x14ac:dyDescent="0.2">
      <c r="A6" s="56"/>
      <c r="B6" s="87"/>
      <c r="C6" s="1"/>
      <c r="D6" s="1"/>
      <c r="M6" s="75"/>
    </row>
    <row r="7" spans="1:13" x14ac:dyDescent="0.2">
      <c r="A7" s="59"/>
      <c r="B7" s="6"/>
      <c r="C7" s="607" t="str">
        <f>IF(Lang="Français","Fusée",IF(Lang="English","Rocket",""))</f>
        <v>Fusée</v>
      </c>
      <c r="D7" s="607"/>
      <c r="M7" s="75"/>
    </row>
    <row r="8" spans="1:13" ht="15.75" x14ac:dyDescent="0.25">
      <c r="A8" s="59"/>
      <c r="B8" s="140" t="str">
        <f>IF(Lang="Français","Nom",IF(Lang="English","Name",""))</f>
        <v>Nom</v>
      </c>
      <c r="C8" s="626" t="str">
        <f>Nom</f>
        <v>SP02-Beta</v>
      </c>
      <c r="D8" s="626"/>
      <c r="M8" s="75"/>
    </row>
    <row r="9" spans="1:13" ht="15.75" x14ac:dyDescent="0.25">
      <c r="A9" s="59"/>
      <c r="B9" s="140" t="s">
        <v>4</v>
      </c>
      <c r="C9" s="626" t="str">
        <f>Club</f>
        <v>l'Aeroipsa</v>
      </c>
      <c r="D9" s="626"/>
      <c r="M9" s="75"/>
    </row>
    <row r="10" spans="1:13" x14ac:dyDescent="0.2">
      <c r="A10" s="59"/>
      <c r="B10" s="140" t="str">
        <f>IF(Lang="Français","Masse sans propu",IF(Lang="English","Mass without M",""))</f>
        <v>Masse sans propu</v>
      </c>
      <c r="C10" s="654">
        <f>MasseSans</f>
        <v>5</v>
      </c>
      <c r="D10" s="654"/>
      <c r="M10" s="75"/>
    </row>
    <row r="11" spans="1:13" x14ac:dyDescent="0.2">
      <c r="A11" s="59"/>
      <c r="B11" s="140" t="str">
        <f>IF(Lang="Français","Masse totale",IF(Lang="English","Total mass",""))</f>
        <v>Masse totale</v>
      </c>
      <c r="C11" s="657" t="str">
        <f ca="1">MassePlein &amp; " kg ±" &amp; MasseSans &amp; " kg"</f>
        <v>6,685 kg ±5 kg</v>
      </c>
      <c r="D11" s="657"/>
      <c r="M11" s="75"/>
    </row>
    <row r="12" spans="1:13" x14ac:dyDescent="0.2">
      <c r="A12" s="59"/>
      <c r="B12" s="227" t="str">
        <f>IF(Lang="Français","Propulseur",IF(Lang="English","Motor",""))</f>
        <v>Propulseur</v>
      </c>
      <c r="C12" s="605" t="str">
        <f>Propu</f>
        <v>Barasinga (Pro54-5G C)</v>
      </c>
      <c r="D12" s="606"/>
      <c r="M12" s="75"/>
    </row>
    <row r="13" spans="1:13" x14ac:dyDescent="0.2">
      <c r="A13" s="59"/>
      <c r="B13" s="1"/>
      <c r="C13" s="1"/>
      <c r="D13" s="1"/>
      <c r="M13" s="75"/>
    </row>
    <row r="14" spans="1:13" x14ac:dyDescent="0.2">
      <c r="A14" s="74"/>
      <c r="C14" s="607" t="str">
        <f>IF(Lang="Français","Traînée Aérdynamique",IF(Lang="English","Drag",""))</f>
        <v>Traînée Aérdynamique</v>
      </c>
      <c r="D14" s="607"/>
      <c r="M14" s="75"/>
    </row>
    <row r="15" spans="1:13" x14ac:dyDescent="0.2">
      <c r="A15" s="74"/>
      <c r="B15" s="139" t="str">
        <f>IF(Lang="Français","Diamètre Ø",IF(Lang="English","Diameter Ø",""))</f>
        <v>Diamètre Ø</v>
      </c>
      <c r="C15" s="655">
        <f>D_ref</f>
        <v>84</v>
      </c>
      <c r="D15" s="655"/>
      <c r="M15" s="75"/>
    </row>
    <row r="16" spans="1:13" x14ac:dyDescent="0.2">
      <c r="A16" s="74"/>
      <c r="B16" s="140" t="s">
        <v>5</v>
      </c>
      <c r="C16" s="656">
        <f>Cx</f>
        <v>0.5</v>
      </c>
      <c r="D16" s="656"/>
      <c r="M16" s="75"/>
    </row>
    <row r="17" spans="1:13" x14ac:dyDescent="0.2">
      <c r="A17" s="74"/>
      <c r="M17" s="75"/>
    </row>
    <row r="18" spans="1:13" x14ac:dyDescent="0.2">
      <c r="A18" s="74"/>
      <c r="M18" s="75"/>
    </row>
    <row r="19" spans="1:13" x14ac:dyDescent="0.2">
      <c r="A19" s="74"/>
      <c r="M19" s="75"/>
    </row>
    <row r="20" spans="1:13" x14ac:dyDescent="0.2">
      <c r="A20" s="74"/>
      <c r="M20" s="75"/>
    </row>
    <row r="21" spans="1:13" x14ac:dyDescent="0.2">
      <c r="A21" s="74"/>
      <c r="M21" s="75"/>
    </row>
    <row r="22" spans="1:13" x14ac:dyDescent="0.2">
      <c r="A22" s="74"/>
      <c r="M22" s="75"/>
    </row>
    <row r="23" spans="1:13" x14ac:dyDescent="0.2">
      <c r="A23" s="74"/>
      <c r="M23" s="75"/>
    </row>
    <row r="24" spans="1:13" x14ac:dyDescent="0.2">
      <c r="A24" s="74"/>
      <c r="M24" s="75"/>
    </row>
    <row r="25" spans="1:13" x14ac:dyDescent="0.2">
      <c r="A25" s="74"/>
      <c r="M25" s="75"/>
    </row>
    <row r="26" spans="1:13" x14ac:dyDescent="0.2">
      <c r="A26" s="74"/>
      <c r="M26" s="75"/>
    </row>
    <row r="27" spans="1:13" x14ac:dyDescent="0.2">
      <c r="A27" s="74"/>
      <c r="M27" s="75"/>
    </row>
    <row r="28" spans="1:13" x14ac:dyDescent="0.2">
      <c r="A28" s="74"/>
      <c r="M28" s="75"/>
    </row>
    <row r="29" spans="1:13" x14ac:dyDescent="0.2">
      <c r="A29" s="74"/>
      <c r="M29" s="75"/>
    </row>
    <row r="30" spans="1:13" x14ac:dyDescent="0.2">
      <c r="A30" s="74"/>
      <c r="M30" s="75"/>
    </row>
    <row r="31" spans="1:13" x14ac:dyDescent="0.2">
      <c r="A31" s="74"/>
      <c r="M31" s="75"/>
    </row>
    <row r="32" spans="1:13" x14ac:dyDescent="0.2">
      <c r="A32" s="74"/>
      <c r="M32" s="75"/>
    </row>
    <row r="33" spans="1:13" x14ac:dyDescent="0.2">
      <c r="A33" s="74"/>
      <c r="M33" s="75"/>
    </row>
    <row r="34" spans="1:13" x14ac:dyDescent="0.2">
      <c r="A34" s="74"/>
      <c r="M34" s="75"/>
    </row>
    <row r="35" spans="1:13" ht="13.5" thickBo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  <row r="39" spans="1:13" x14ac:dyDescent="0.2">
      <c r="B39" s="419" t="s">
        <v>62</v>
      </c>
      <c r="C39" s="170" t="s">
        <v>284</v>
      </c>
      <c r="D39" s="134" t="s">
        <v>281</v>
      </c>
      <c r="E39" s="134" t="s">
        <v>285</v>
      </c>
      <c r="F39" s="134" t="s">
        <v>286</v>
      </c>
      <c r="G39" s="134" t="s">
        <v>13</v>
      </c>
      <c r="H39" s="134" t="s">
        <v>282</v>
      </c>
      <c r="I39" s="134" t="s">
        <v>283</v>
      </c>
      <c r="J39" s="134" t="s">
        <v>298</v>
      </c>
      <c r="K39" s="134" t="s">
        <v>299</v>
      </c>
      <c r="L39" s="134" t="s">
        <v>301</v>
      </c>
      <c r="M39" s="134" t="s">
        <v>289</v>
      </c>
    </row>
    <row r="40" spans="1:13" x14ac:dyDescent="0.2">
      <c r="B40" s="420" t="s">
        <v>290</v>
      </c>
      <c r="C40" s="170" t="s">
        <v>291</v>
      </c>
      <c r="D40" s="134" t="s">
        <v>292</v>
      </c>
      <c r="E40" s="134" t="s">
        <v>293</v>
      </c>
      <c r="F40" s="134" t="s">
        <v>294</v>
      </c>
      <c r="G40" s="134" t="s">
        <v>295</v>
      </c>
      <c r="H40" s="134" t="s">
        <v>296</v>
      </c>
      <c r="I40" s="134" t="s">
        <v>297</v>
      </c>
      <c r="J40" s="134" t="s">
        <v>287</v>
      </c>
      <c r="K40" s="134" t="s">
        <v>288</v>
      </c>
      <c r="L40" s="134"/>
      <c r="M40" s="134"/>
    </row>
    <row r="41" spans="1:13" x14ac:dyDescent="0.2">
      <c r="B41" s="425">
        <f t="shared" ref="B41:B49" ca="1" si="0">MAX(D_ref*0.5, Diam_propu)</f>
        <v>54</v>
      </c>
      <c r="C41" s="403">
        <f t="shared" ref="C41:C67" ca="1" si="1">1/2*Rho_moyen*PI()*D_var^2/4*Cx/10^6</f>
        <v>7.0138019486800632E-4</v>
      </c>
      <c r="D41" s="400">
        <f ca="1">MpropuPlein+0*MasseSans</f>
        <v>1.6850000000000001</v>
      </c>
      <c r="E41" s="400">
        <f t="shared" ref="E41:E67" ca="1" si="2">m_var - 0.5*m_poudre</f>
        <v>1.1685000000000001</v>
      </c>
      <c r="F41" s="400">
        <f t="shared" ref="F41:F67" ca="1" si="3">m_var - m_poudre</f>
        <v>0.65200000000000014</v>
      </c>
      <c r="G41" s="407">
        <f t="shared" ref="G41:G67" ca="1" si="4">MAX(0, (I_total/Temps_fin_propu)/m_prop-g)</f>
        <v>480.87217115245477</v>
      </c>
      <c r="H41" s="406">
        <f t="shared" ref="H41:H67" ca="1" si="5">Q_var/m_prop</f>
        <v>6.0023979021652223E-4</v>
      </c>
      <c r="I41" s="403">
        <f t="shared" ref="I41:I67" ca="1" si="6">Q_var/m_bal</f>
        <v>1.0757364951963285E-3</v>
      </c>
      <c r="J41" s="403">
        <f t="shared" ref="J41:J67" ca="1" si="7">1/(2*b_prop)*LN(  ((EXP(2*SQRT(a_prop*b_prop)*Temps_fin_propu)+1)^2)  /  (((1+1)^2)*EXP(2*SQRT(a_prop*b_prop)*Temps_fin_propu)))</f>
        <v>2093.3057315751853</v>
      </c>
      <c r="K41" s="410">
        <f t="shared" ref="K41:K67" ca="1" si="8">SQRT(a_prop/b_prop)  *  (EXP(2*SQRT(a_prop*b_prop)*Temps_fin_propu)-1)/(EXP(2*SQRT(a_prop*b_prop)*Temps_fin_propu)+1)</f>
        <v>858.03255877092988</v>
      </c>
      <c r="L41" s="413">
        <f t="shared" ref="L41:L67" ca="1" si="9">alt_prop + 1/(2*b_bal) * LN(1+b_bal/g*V_prop^2)</f>
        <v>4140.0163847444119</v>
      </c>
      <c r="M41" s="416">
        <f t="shared" ref="M41:M67" ca="1" si="10">Temps_fin_propu + ATAN(SQRT(b_bal/g)*V_prop)/SQRT(b_bal*g)</f>
        <v>17.801914529830043</v>
      </c>
    </row>
    <row r="42" spans="1:13" x14ac:dyDescent="0.2">
      <c r="B42" s="426">
        <f t="shared" ca="1" si="0"/>
        <v>54</v>
      </c>
      <c r="C42" s="404">
        <f t="shared" ca="1" si="1"/>
        <v>7.0138019486800632E-4</v>
      </c>
      <c r="D42" s="401">
        <f ca="1">MpropuPlein+0.25*MasseSans</f>
        <v>2.9350000000000001</v>
      </c>
      <c r="E42" s="401">
        <f t="shared" ca="1" si="2"/>
        <v>2.4184999999999999</v>
      </c>
      <c r="F42" s="401">
        <f t="shared" ca="1" si="3"/>
        <v>1.9020000000000001</v>
      </c>
      <c r="G42" s="408">
        <f t="shared" ca="1" si="4"/>
        <v>227.26344097235619</v>
      </c>
      <c r="H42" s="404">
        <f t="shared" ca="1" si="5"/>
        <v>2.9000628276535306E-4</v>
      </c>
      <c r="I42" s="404">
        <f t="shared" ca="1" si="6"/>
        <v>3.6875930329548174E-4</v>
      </c>
      <c r="J42" s="404">
        <f t="shared" ca="1" si="7"/>
        <v>1294.6149135419853</v>
      </c>
      <c r="K42" s="411">
        <f t="shared" ca="1" si="8"/>
        <v>643.28093903338265</v>
      </c>
      <c r="L42" s="414">
        <f t="shared" ca="1" si="9"/>
        <v>5100.2134102129712</v>
      </c>
      <c r="M42" s="417">
        <f t="shared" ca="1" si="10"/>
        <v>25.577867660668701</v>
      </c>
    </row>
    <row r="43" spans="1:13" x14ac:dyDescent="0.2">
      <c r="B43" s="426">
        <f t="shared" ca="1" si="0"/>
        <v>54</v>
      </c>
      <c r="C43" s="404">
        <f t="shared" ca="1" si="1"/>
        <v>7.0138019486800632E-4</v>
      </c>
      <c r="D43" s="401">
        <f ca="1">MpropuPlein+0.5*MasseSans</f>
        <v>4.1850000000000005</v>
      </c>
      <c r="E43" s="401">
        <f t="shared" ca="1" si="2"/>
        <v>3.6685000000000008</v>
      </c>
      <c r="F43" s="401">
        <f t="shared" ca="1" si="3"/>
        <v>3.1520000000000006</v>
      </c>
      <c r="G43" s="408">
        <f t="shared" ca="1" si="4"/>
        <v>146.48333978237517</v>
      </c>
      <c r="H43" s="404">
        <f t="shared" ca="1" si="5"/>
        <v>1.9118991273490694E-4</v>
      </c>
      <c r="I43" s="404">
        <f t="shared" ca="1" si="6"/>
        <v>2.2251909735660096E-4</v>
      </c>
      <c r="J43" s="404">
        <f t="shared" ca="1" si="7"/>
        <v>892.08972278494605</v>
      </c>
      <c r="K43" s="411">
        <f t="shared" ca="1" si="8"/>
        <v>470.57500314603016</v>
      </c>
      <c r="L43" s="414">
        <f t="shared" ca="1" si="9"/>
        <v>4926.7359435533981</v>
      </c>
      <c r="M43" s="417">
        <f t="shared" ca="1" si="10"/>
        <v>28.227689664382847</v>
      </c>
    </row>
    <row r="44" spans="1:13" x14ac:dyDescent="0.2">
      <c r="B44" s="426">
        <f t="shared" ca="1" si="0"/>
        <v>54</v>
      </c>
      <c r="C44" s="404">
        <f t="shared" ca="1" si="1"/>
        <v>7.0138019486800632E-4</v>
      </c>
      <c r="D44" s="401">
        <f ca="1">MpropuPlein+0.75*MasseSans</f>
        <v>5.4350000000000005</v>
      </c>
      <c r="E44" s="401">
        <f t="shared" ca="1" si="2"/>
        <v>4.9185000000000008</v>
      </c>
      <c r="F44" s="401">
        <f t="shared" ca="1" si="3"/>
        <v>4.402000000000001</v>
      </c>
      <c r="G44" s="408">
        <f t="shared" ca="1" si="4"/>
        <v>106.76255606214158</v>
      </c>
      <c r="H44" s="404">
        <f t="shared" ca="1" si="5"/>
        <v>1.4260042591603258E-4</v>
      </c>
      <c r="I44" s="404">
        <f t="shared" ca="1" si="6"/>
        <v>1.5933216603089645E-4</v>
      </c>
      <c r="J44" s="404">
        <f t="shared" ca="1" si="7"/>
        <v>666.59592977403088</v>
      </c>
      <c r="K44" s="411">
        <f t="shared" ca="1" si="8"/>
        <v>360.03223854406696</v>
      </c>
      <c r="L44" s="414">
        <f t="shared" ca="1" si="9"/>
        <v>4222.4234227424759</v>
      </c>
      <c r="M44" s="417">
        <f t="shared" ca="1" si="10"/>
        <v>28.058185108192042</v>
      </c>
    </row>
    <row r="45" spans="1:13" x14ac:dyDescent="0.2">
      <c r="B45" s="426">
        <f t="shared" ca="1" si="0"/>
        <v>54</v>
      </c>
      <c r="C45" s="404">
        <f t="shared" ca="1" si="1"/>
        <v>7.0138019486800632E-4</v>
      </c>
      <c r="D45" s="401">
        <f ca="1">MpropuPlein+1*MasseSans</f>
        <v>6.6850000000000005</v>
      </c>
      <c r="E45" s="401">
        <f t="shared" ca="1" si="2"/>
        <v>6.1685000000000008</v>
      </c>
      <c r="F45" s="401">
        <f t="shared" ca="1" si="3"/>
        <v>5.652000000000001</v>
      </c>
      <c r="G45" s="408">
        <f t="shared" ca="1" si="4"/>
        <v>83.140006807431845</v>
      </c>
      <c r="H45" s="404">
        <f t="shared" ca="1" si="5"/>
        <v>1.1370352514679521E-4</v>
      </c>
      <c r="I45" s="404">
        <f t="shared" ca="1" si="6"/>
        <v>1.2409416045081496E-4</v>
      </c>
      <c r="J45" s="404">
        <f t="shared" ca="1" si="7"/>
        <v>525.22019713992825</v>
      </c>
      <c r="K45" s="411">
        <f t="shared" ca="1" si="8"/>
        <v>286.91410010622883</v>
      </c>
      <c r="L45" s="414">
        <f t="shared" ca="1" si="9"/>
        <v>3400.45179627474</v>
      </c>
      <c r="M45" s="417">
        <f t="shared" ca="1" si="10"/>
        <v>26.390343723305794</v>
      </c>
    </row>
    <row r="46" spans="1:13" x14ac:dyDescent="0.2">
      <c r="B46" s="426">
        <f t="shared" ca="1" si="0"/>
        <v>54</v>
      </c>
      <c r="C46" s="404">
        <f t="shared" ca="1" si="1"/>
        <v>7.0138019486800632E-4</v>
      </c>
      <c r="D46" s="401">
        <f ca="1">MpropuPlein+1.25*MasseSans</f>
        <v>7.9350000000000005</v>
      </c>
      <c r="E46" s="401">
        <f t="shared" ca="1" si="2"/>
        <v>7.4185000000000008</v>
      </c>
      <c r="F46" s="401">
        <f t="shared" ca="1" si="3"/>
        <v>6.902000000000001</v>
      </c>
      <c r="G46" s="408">
        <f t="shared" ca="1" si="4"/>
        <v>67.478146794047774</v>
      </c>
      <c r="H46" s="404">
        <f t="shared" ca="1" si="5"/>
        <v>9.4544745550718636E-5</v>
      </c>
      <c r="I46" s="404">
        <f t="shared" ca="1" si="6"/>
        <v>1.0161984857548626E-4</v>
      </c>
      <c r="J46" s="404">
        <f t="shared" ca="1" si="7"/>
        <v>429.00120837954637</v>
      </c>
      <c r="K46" s="411">
        <f t="shared" ca="1" si="8"/>
        <v>235.81852189600707</v>
      </c>
      <c r="L46" s="414">
        <f t="shared" ca="1" si="9"/>
        <v>2667.3733543771996</v>
      </c>
      <c r="M46" s="417">
        <f t="shared" ca="1" si="10"/>
        <v>24.152326560686138</v>
      </c>
    </row>
    <row r="47" spans="1:13" x14ac:dyDescent="0.2">
      <c r="B47" s="426">
        <f t="shared" ca="1" si="0"/>
        <v>54</v>
      </c>
      <c r="C47" s="404">
        <f t="shared" ca="1" si="1"/>
        <v>7.0138019486800632E-4</v>
      </c>
      <c r="D47" s="401">
        <f ca="1">MpropuPlein+1.5*MasseSans</f>
        <v>9.1850000000000005</v>
      </c>
      <c r="E47" s="401">
        <f t="shared" ca="1" si="2"/>
        <v>8.6684999999999999</v>
      </c>
      <c r="F47" s="401">
        <f t="shared" ca="1" si="3"/>
        <v>8.152000000000001</v>
      </c>
      <c r="G47" s="408">
        <f t="shared" ca="1" si="4"/>
        <v>56.333175519598939</v>
      </c>
      <c r="H47" s="404">
        <f t="shared" ca="1" si="5"/>
        <v>8.0911368156890619E-5</v>
      </c>
      <c r="I47" s="404">
        <f t="shared" ca="1" si="6"/>
        <v>8.6037806043671035E-5</v>
      </c>
      <c r="J47" s="404">
        <f t="shared" ca="1" si="7"/>
        <v>359.51436088530613</v>
      </c>
      <c r="K47" s="411">
        <f t="shared" ca="1" si="8"/>
        <v>198.36694558944012</v>
      </c>
      <c r="L47" s="414">
        <f t="shared" ca="1" si="9"/>
        <v>2082.4581929757196</v>
      </c>
      <c r="M47" s="417">
        <f t="shared" ca="1" si="10"/>
        <v>21.872570007401137</v>
      </c>
    </row>
    <row r="48" spans="1:13" x14ac:dyDescent="0.2">
      <c r="B48" s="426">
        <f t="shared" ca="1" si="0"/>
        <v>54</v>
      </c>
      <c r="C48" s="404">
        <f t="shared" ca="1" si="1"/>
        <v>7.0138019486800632E-4</v>
      </c>
      <c r="D48" s="401">
        <f ca="1">MpropuPlein+1.75*MasseSans</f>
        <v>10.435</v>
      </c>
      <c r="E48" s="401">
        <f t="shared" ca="1" si="2"/>
        <v>9.9184999999999999</v>
      </c>
      <c r="F48" s="401">
        <f t="shared" ca="1" si="3"/>
        <v>9.402000000000001</v>
      </c>
      <c r="G48" s="408">
        <f t="shared" ca="1" si="4"/>
        <v>47.99734153265549</v>
      </c>
      <c r="H48" s="404">
        <f t="shared" ca="1" si="5"/>
        <v>7.0714341368957639E-5</v>
      </c>
      <c r="I48" s="404">
        <f t="shared" ca="1" si="6"/>
        <v>7.45990422110196E-5</v>
      </c>
      <c r="J48" s="404">
        <f t="shared" ca="1" si="7"/>
        <v>307.06827043809483</v>
      </c>
      <c r="K48" s="411">
        <f t="shared" ca="1" si="8"/>
        <v>169.84116550770122</v>
      </c>
      <c r="L48" s="414">
        <f t="shared" ca="1" si="9"/>
        <v>1636.328764012962</v>
      </c>
      <c r="M48" s="417">
        <f t="shared" ca="1" si="10"/>
        <v>19.781439946762269</v>
      </c>
    </row>
    <row r="49" spans="2:13" x14ac:dyDescent="0.2">
      <c r="B49" s="427">
        <f t="shared" ca="1" si="0"/>
        <v>54</v>
      </c>
      <c r="C49" s="405">
        <f t="shared" ca="1" si="1"/>
        <v>7.0138019486800632E-4</v>
      </c>
      <c r="D49" s="402">
        <f ca="1">MpropuPlein+2*MasseSans</f>
        <v>11.685</v>
      </c>
      <c r="E49" s="402">
        <f t="shared" ca="1" si="2"/>
        <v>11.1685</v>
      </c>
      <c r="F49" s="402">
        <f t="shared" ca="1" si="3"/>
        <v>10.652000000000001</v>
      </c>
      <c r="G49" s="409">
        <f t="shared" ca="1" si="4"/>
        <v>41.527432689407121</v>
      </c>
      <c r="H49" s="405">
        <f t="shared" ca="1" si="5"/>
        <v>6.2799856280432132E-5</v>
      </c>
      <c r="I49" s="405">
        <f t="shared" ca="1" si="6"/>
        <v>6.5844930047691166E-5</v>
      </c>
      <c r="J49" s="405">
        <f t="shared" ca="1" si="7"/>
        <v>266.11907130064623</v>
      </c>
      <c r="K49" s="412">
        <f t="shared" ca="1" si="8"/>
        <v>147.43535176199717</v>
      </c>
      <c r="L49" s="415">
        <f t="shared" ca="1" si="9"/>
        <v>1300.296919504206</v>
      </c>
      <c r="M49" s="418">
        <f t="shared" ca="1" si="10"/>
        <v>17.946163792828496</v>
      </c>
    </row>
    <row r="50" spans="2:13" x14ac:dyDescent="0.2">
      <c r="B50" s="425">
        <f t="shared" ref="B50:B58" si="11">D_ref</f>
        <v>84</v>
      </c>
      <c r="C50" s="403">
        <f t="shared" si="1"/>
        <v>1.6971668912855462E-3</v>
      </c>
      <c r="D50" s="400">
        <f ca="1">MpropuPlein+0*MasseSans</f>
        <v>1.6850000000000001</v>
      </c>
      <c r="E50" s="400">
        <f t="shared" ca="1" si="2"/>
        <v>1.1685000000000001</v>
      </c>
      <c r="F50" s="400">
        <f t="shared" ca="1" si="3"/>
        <v>0.65200000000000014</v>
      </c>
      <c r="G50" s="407">
        <f t="shared" ca="1" si="4"/>
        <v>480.87217115245477</v>
      </c>
      <c r="H50" s="403">
        <f t="shared" ca="1" si="5"/>
        <v>1.4524320849683748E-3</v>
      </c>
      <c r="I50" s="403">
        <f t="shared" ca="1" si="6"/>
        <v>2.6030167044256837E-3</v>
      </c>
      <c r="J50" s="403">
        <f t="shared" ca="1" si="7"/>
        <v>1590.1435454499365</v>
      </c>
      <c r="K50" s="410">
        <f t="shared" ca="1" si="8"/>
        <v>572.55202180710319</v>
      </c>
      <c r="L50" s="413">
        <f t="shared" ca="1" si="9"/>
        <v>2450.1363966808603</v>
      </c>
      <c r="M50" s="416">
        <f t="shared" ca="1" si="10"/>
        <v>12.751426091791885</v>
      </c>
    </row>
    <row r="51" spans="2:13" x14ac:dyDescent="0.2">
      <c r="B51" s="426">
        <f t="shared" si="11"/>
        <v>84</v>
      </c>
      <c r="C51" s="404">
        <f t="shared" si="1"/>
        <v>1.6971668912855462E-3</v>
      </c>
      <c r="D51" s="401">
        <f ca="1">MpropuPlein+0.25*MasseSans</f>
        <v>2.9350000000000001</v>
      </c>
      <c r="E51" s="401">
        <f t="shared" ca="1" si="2"/>
        <v>2.4184999999999999</v>
      </c>
      <c r="F51" s="401">
        <f t="shared" ca="1" si="3"/>
        <v>1.9020000000000001</v>
      </c>
      <c r="G51" s="408">
        <f t="shared" ca="1" si="4"/>
        <v>227.26344097235619</v>
      </c>
      <c r="H51" s="404">
        <f t="shared" ca="1" si="5"/>
        <v>7.0174359780258272E-4</v>
      </c>
      <c r="I51" s="404">
        <f t="shared" ca="1" si="6"/>
        <v>8.9230646229523979E-4</v>
      </c>
      <c r="J51" s="404">
        <f t="shared" ca="1" si="7"/>
        <v>1134.0515327588969</v>
      </c>
      <c r="K51" s="411">
        <f t="shared" ca="1" si="8"/>
        <v>507.85856885310949</v>
      </c>
      <c r="L51" s="414">
        <f t="shared" ca="1" si="9"/>
        <v>2925.501550122478</v>
      </c>
      <c r="M51" s="417">
        <f t="shared" ca="1" si="10"/>
        <v>18.203012502678575</v>
      </c>
    </row>
    <row r="52" spans="2:13" x14ac:dyDescent="0.2">
      <c r="B52" s="426">
        <f t="shared" si="11"/>
        <v>84</v>
      </c>
      <c r="C52" s="404">
        <f t="shared" si="1"/>
        <v>1.6971668912855462E-3</v>
      </c>
      <c r="D52" s="401">
        <f ca="1">MpropuPlein+0.5*MasseSans</f>
        <v>4.1850000000000005</v>
      </c>
      <c r="E52" s="401">
        <f t="shared" ca="1" si="2"/>
        <v>3.6685000000000008</v>
      </c>
      <c r="F52" s="401">
        <f t="shared" ca="1" si="3"/>
        <v>3.1520000000000006</v>
      </c>
      <c r="G52" s="408">
        <f t="shared" ca="1" si="4"/>
        <v>146.48333978237517</v>
      </c>
      <c r="H52" s="404">
        <f t="shared" ca="1" si="5"/>
        <v>4.6263238143261437E-4</v>
      </c>
      <c r="I52" s="404">
        <f t="shared" ca="1" si="6"/>
        <v>5.3844127261597273E-4</v>
      </c>
      <c r="J52" s="404">
        <f t="shared" ca="1" si="7"/>
        <v>831.91483402769029</v>
      </c>
      <c r="K52" s="411">
        <f t="shared" ca="1" si="8"/>
        <v>412.2964033151664</v>
      </c>
      <c r="L52" s="414">
        <f t="shared" ca="1" si="9"/>
        <v>3000.2723775330264</v>
      </c>
      <c r="M52" s="417">
        <f t="shared" ca="1" si="10"/>
        <v>20.849814321455842</v>
      </c>
    </row>
    <row r="53" spans="2:13" x14ac:dyDescent="0.2">
      <c r="B53" s="426">
        <f t="shared" si="11"/>
        <v>84</v>
      </c>
      <c r="C53" s="404">
        <f t="shared" si="1"/>
        <v>1.6971668912855462E-3</v>
      </c>
      <c r="D53" s="401">
        <f ca="1">MpropuPlein+0.75*MasseSans</f>
        <v>5.4350000000000005</v>
      </c>
      <c r="E53" s="401">
        <f t="shared" ca="1" si="2"/>
        <v>4.9185000000000008</v>
      </c>
      <c r="F53" s="401">
        <f t="shared" ca="1" si="3"/>
        <v>4.402000000000001</v>
      </c>
      <c r="G53" s="408">
        <f t="shared" ca="1" si="4"/>
        <v>106.76255606214158</v>
      </c>
      <c r="H53" s="404">
        <f t="shared" ca="1" si="5"/>
        <v>3.4505782073509118E-4</v>
      </c>
      <c r="I53" s="404">
        <f t="shared" ca="1" si="6"/>
        <v>3.8554450051920625E-4</v>
      </c>
      <c r="J53" s="404">
        <f t="shared" ca="1" si="7"/>
        <v>639.57338822536235</v>
      </c>
      <c r="K53" s="411">
        <f t="shared" ca="1" si="8"/>
        <v>332.28236589381731</v>
      </c>
      <c r="L53" s="414">
        <f t="shared" ca="1" si="9"/>
        <v>2811.9495163763431</v>
      </c>
      <c r="M53" s="417">
        <f t="shared" ca="1" si="10"/>
        <v>21.854085671891806</v>
      </c>
    </row>
    <row r="54" spans="2:13" x14ac:dyDescent="0.2">
      <c r="B54" s="426">
        <f t="shared" si="11"/>
        <v>84</v>
      </c>
      <c r="C54" s="404">
        <f t="shared" si="1"/>
        <v>1.6971668912855462E-3</v>
      </c>
      <c r="D54" s="401">
        <f ca="1">MpropuPlein+1*MasseSans</f>
        <v>6.6850000000000005</v>
      </c>
      <c r="E54" s="401">
        <f t="shared" ca="1" si="2"/>
        <v>6.1685000000000008</v>
      </c>
      <c r="F54" s="401">
        <f t="shared" ca="1" si="3"/>
        <v>5.652000000000001</v>
      </c>
      <c r="G54" s="408">
        <f t="shared" ca="1" si="4"/>
        <v>83.140006807431845</v>
      </c>
      <c r="H54" s="404">
        <f t="shared" ca="1" si="5"/>
        <v>2.7513445591076369E-4</v>
      </c>
      <c r="I54" s="404">
        <f t="shared" ca="1" si="6"/>
        <v>3.0027722775752757E-4</v>
      </c>
      <c r="J54" s="404">
        <f t="shared" ca="1" si="7"/>
        <v>511.33419791814259</v>
      </c>
      <c r="K54" s="411">
        <f t="shared" ca="1" si="8"/>
        <v>272.23175565686012</v>
      </c>
      <c r="L54" s="414">
        <f t="shared" ca="1" si="9"/>
        <v>2483.3762792563507</v>
      </c>
      <c r="M54" s="417">
        <f t="shared" ca="1" si="10"/>
        <v>21.73255404965855</v>
      </c>
    </row>
    <row r="55" spans="2:13" x14ac:dyDescent="0.2">
      <c r="B55" s="426">
        <f t="shared" si="11"/>
        <v>84</v>
      </c>
      <c r="C55" s="404">
        <f t="shared" si="1"/>
        <v>1.6971668912855462E-3</v>
      </c>
      <c r="D55" s="401">
        <f ca="1">MpropuPlein+1.25*MasseSans</f>
        <v>7.9350000000000005</v>
      </c>
      <c r="E55" s="401">
        <f t="shared" ca="1" si="2"/>
        <v>7.4185000000000008</v>
      </c>
      <c r="F55" s="401">
        <f t="shared" ca="1" si="3"/>
        <v>6.902000000000001</v>
      </c>
      <c r="G55" s="408">
        <f t="shared" ca="1" si="4"/>
        <v>67.478146794047774</v>
      </c>
      <c r="H55" s="404">
        <f t="shared" ca="1" si="5"/>
        <v>2.2877493985112165E-4</v>
      </c>
      <c r="I55" s="404">
        <f t="shared" ca="1" si="6"/>
        <v>2.4589494223204084E-4</v>
      </c>
      <c r="J55" s="404">
        <f t="shared" ca="1" si="7"/>
        <v>421.13526661183045</v>
      </c>
      <c r="K55" s="411">
        <f t="shared" ca="1" si="8"/>
        <v>227.36421972542081</v>
      </c>
      <c r="L55" s="414">
        <f t="shared" ca="1" si="9"/>
        <v>2111.0119983943277</v>
      </c>
      <c r="M55" s="417">
        <f t="shared" ca="1" si="10"/>
        <v>20.896356930463408</v>
      </c>
    </row>
    <row r="56" spans="2:13" x14ac:dyDescent="0.2">
      <c r="B56" s="426">
        <f t="shared" si="11"/>
        <v>84</v>
      </c>
      <c r="C56" s="404">
        <f t="shared" si="1"/>
        <v>1.6971668912855462E-3</v>
      </c>
      <c r="D56" s="401">
        <f ca="1">MpropuPlein+1.5*MasseSans</f>
        <v>9.1850000000000005</v>
      </c>
      <c r="E56" s="401">
        <f t="shared" ca="1" si="2"/>
        <v>8.6684999999999999</v>
      </c>
      <c r="F56" s="401">
        <f t="shared" ca="1" si="3"/>
        <v>8.152000000000001</v>
      </c>
      <c r="G56" s="408">
        <f t="shared" ca="1" si="4"/>
        <v>56.333175519598939</v>
      </c>
      <c r="H56" s="404">
        <f t="shared" ca="1" si="5"/>
        <v>1.95785532824081E-4</v>
      </c>
      <c r="I56" s="404">
        <f t="shared" ca="1" si="6"/>
        <v>2.0819024672295706E-4</v>
      </c>
      <c r="J56" s="404">
        <f t="shared" ca="1" si="7"/>
        <v>354.7262022836216</v>
      </c>
      <c r="K56" s="411">
        <f t="shared" ca="1" si="8"/>
        <v>193.16896438757411</v>
      </c>
      <c r="L56" s="414">
        <f t="shared" ca="1" si="9"/>
        <v>1755.5415047670626</v>
      </c>
      <c r="M56" s="417">
        <f t="shared" ca="1" si="10"/>
        <v>19.681173201368683</v>
      </c>
    </row>
    <row r="57" spans="2:13" x14ac:dyDescent="0.2">
      <c r="B57" s="426">
        <f t="shared" si="11"/>
        <v>84</v>
      </c>
      <c r="C57" s="404">
        <f t="shared" si="1"/>
        <v>1.6971668912855462E-3</v>
      </c>
      <c r="D57" s="401">
        <f ca="1">MpropuPlein+1.75*MasseSans</f>
        <v>10.435</v>
      </c>
      <c r="E57" s="401">
        <f t="shared" ca="1" si="2"/>
        <v>9.9184999999999999</v>
      </c>
      <c r="F57" s="401">
        <f t="shared" ca="1" si="3"/>
        <v>9.402000000000001</v>
      </c>
      <c r="G57" s="408">
        <f t="shared" ca="1" si="4"/>
        <v>47.99734153265549</v>
      </c>
      <c r="H57" s="404">
        <f t="shared" ca="1" si="5"/>
        <v>1.7111124578167528E-4</v>
      </c>
      <c r="I57" s="404">
        <f t="shared" ca="1" si="6"/>
        <v>1.805112626340721E-4</v>
      </c>
      <c r="J57" s="404">
        <f t="shared" ca="1" si="7"/>
        <v>303.9900576439203</v>
      </c>
      <c r="K57" s="411">
        <f t="shared" ca="1" si="8"/>
        <v>166.477688002321</v>
      </c>
      <c r="L57" s="414">
        <f t="shared" ca="1" si="9"/>
        <v>1445.4476811104846</v>
      </c>
      <c r="M57" s="417">
        <f t="shared" ca="1" si="10"/>
        <v>18.326854981019913</v>
      </c>
    </row>
    <row r="58" spans="2:13" x14ac:dyDescent="0.2">
      <c r="B58" s="427">
        <f t="shared" si="11"/>
        <v>84</v>
      </c>
      <c r="C58" s="405">
        <f t="shared" si="1"/>
        <v>1.6971668912855462E-3</v>
      </c>
      <c r="D58" s="402">
        <f ca="1">MpropuPlein+2*MasseSans</f>
        <v>11.685</v>
      </c>
      <c r="E58" s="402">
        <f t="shared" ca="1" si="2"/>
        <v>11.1685</v>
      </c>
      <c r="F58" s="402">
        <f t="shared" ca="1" si="3"/>
        <v>10.652000000000001</v>
      </c>
      <c r="G58" s="409">
        <f t="shared" ca="1" si="4"/>
        <v>41.527432689407121</v>
      </c>
      <c r="H58" s="405">
        <f t="shared" ca="1" si="5"/>
        <v>1.5196014606129259E-4</v>
      </c>
      <c r="I58" s="405">
        <f t="shared" ca="1" si="6"/>
        <v>1.5932847270799344E-4</v>
      </c>
      <c r="J58" s="405">
        <f t="shared" ca="1" si="7"/>
        <v>264.05422376003332</v>
      </c>
      <c r="K58" s="412">
        <f t="shared" ca="1" si="8"/>
        <v>145.1690975497886</v>
      </c>
      <c r="L58" s="415">
        <f t="shared" ca="1" si="9"/>
        <v>1187.8203853128325</v>
      </c>
      <c r="M58" s="418">
        <f t="shared" ca="1" si="10"/>
        <v>16.979359923179793</v>
      </c>
    </row>
    <row r="59" spans="2:13" x14ac:dyDescent="0.2">
      <c r="B59" s="425">
        <f t="shared" ref="B59:B67" si="12">D_ref*1.5</f>
        <v>126</v>
      </c>
      <c r="C59" s="403">
        <f t="shared" si="1"/>
        <v>3.8186255053924787E-3</v>
      </c>
      <c r="D59" s="400">
        <f ca="1">MpropuPlein+0*MasseSans</f>
        <v>1.6850000000000001</v>
      </c>
      <c r="E59" s="400">
        <f t="shared" ca="1" si="2"/>
        <v>1.1685000000000001</v>
      </c>
      <c r="F59" s="400">
        <f t="shared" ca="1" si="3"/>
        <v>0.65200000000000014</v>
      </c>
      <c r="G59" s="407">
        <f t="shared" ca="1" si="4"/>
        <v>480.87217115245477</v>
      </c>
      <c r="H59" s="403">
        <f t="shared" ca="1" si="5"/>
        <v>3.2679721911788432E-3</v>
      </c>
      <c r="I59" s="403">
        <f t="shared" ca="1" si="6"/>
        <v>5.8567875849577884E-3</v>
      </c>
      <c r="J59" s="403">
        <f t="shared" ca="1" si="7"/>
        <v>1165.0492258548618</v>
      </c>
      <c r="K59" s="410">
        <f t="shared" ca="1" si="8"/>
        <v>383.50279504118197</v>
      </c>
      <c r="L59" s="413">
        <f t="shared" ca="1" si="9"/>
        <v>1548.063101059392</v>
      </c>
      <c r="M59" s="416">
        <f t="shared" ca="1" si="10"/>
        <v>9.6996948352316643</v>
      </c>
    </row>
    <row r="60" spans="2:13" x14ac:dyDescent="0.2">
      <c r="B60" s="426">
        <f t="shared" si="12"/>
        <v>126</v>
      </c>
      <c r="C60" s="404">
        <f t="shared" si="1"/>
        <v>3.8186255053924787E-3</v>
      </c>
      <c r="D60" s="401">
        <f ca="1">MpropuPlein+0.25*MasseSans</f>
        <v>2.9350000000000001</v>
      </c>
      <c r="E60" s="401">
        <f t="shared" ca="1" si="2"/>
        <v>2.4184999999999999</v>
      </c>
      <c r="F60" s="401">
        <f t="shared" ca="1" si="3"/>
        <v>1.9020000000000001</v>
      </c>
      <c r="G60" s="408">
        <f t="shared" ca="1" si="4"/>
        <v>227.26344097235619</v>
      </c>
      <c r="H60" s="404">
        <f t="shared" ca="1" si="5"/>
        <v>1.578923095055811E-3</v>
      </c>
      <c r="I60" s="404">
        <f t="shared" ca="1" si="6"/>
        <v>2.0076895401642896E-3</v>
      </c>
      <c r="J60" s="404">
        <f t="shared" ca="1" si="7"/>
        <v>931.53246046488221</v>
      </c>
      <c r="K60" s="411">
        <f t="shared" ca="1" si="8"/>
        <v>369.24097644503968</v>
      </c>
      <c r="L60" s="414">
        <f t="shared" ca="1" si="9"/>
        <v>1769.2958188065163</v>
      </c>
      <c r="M60" s="417">
        <f t="shared" ca="1" si="10"/>
        <v>13.449591570604026</v>
      </c>
    </row>
    <row r="61" spans="2:13" x14ac:dyDescent="0.2">
      <c r="B61" s="426">
        <f t="shared" si="12"/>
        <v>126</v>
      </c>
      <c r="C61" s="404">
        <f t="shared" si="1"/>
        <v>3.8186255053924787E-3</v>
      </c>
      <c r="D61" s="401">
        <f ca="1">MpropuPlein+0.5*MasseSans</f>
        <v>4.1850000000000005</v>
      </c>
      <c r="E61" s="401">
        <f t="shared" ca="1" si="2"/>
        <v>3.6685000000000008</v>
      </c>
      <c r="F61" s="401">
        <f t="shared" ca="1" si="3"/>
        <v>3.1520000000000006</v>
      </c>
      <c r="G61" s="408">
        <f t="shared" ca="1" si="4"/>
        <v>146.48333978237517</v>
      </c>
      <c r="H61" s="404">
        <f t="shared" ca="1" si="5"/>
        <v>1.0409228582233822E-3</v>
      </c>
      <c r="I61" s="404">
        <f t="shared" ca="1" si="6"/>
        <v>1.2114928633859385E-3</v>
      </c>
      <c r="J61" s="404">
        <f t="shared" ca="1" si="7"/>
        <v>737.33928331907464</v>
      </c>
      <c r="K61" s="411">
        <f t="shared" ca="1" si="8"/>
        <v>332.27308976787111</v>
      </c>
      <c r="L61" s="414">
        <f t="shared" ca="1" si="9"/>
        <v>1844.8109907669441</v>
      </c>
      <c r="M61" s="417">
        <f t="shared" ca="1" si="10"/>
        <v>15.572711895895857</v>
      </c>
    </row>
    <row r="62" spans="2:13" x14ac:dyDescent="0.2">
      <c r="B62" s="426">
        <f t="shared" si="12"/>
        <v>126</v>
      </c>
      <c r="C62" s="404">
        <f t="shared" si="1"/>
        <v>3.8186255053924787E-3</v>
      </c>
      <c r="D62" s="401">
        <f ca="1">MpropuPlein+0.75*MasseSans</f>
        <v>5.4350000000000005</v>
      </c>
      <c r="E62" s="401">
        <f t="shared" ca="1" si="2"/>
        <v>4.9185000000000008</v>
      </c>
      <c r="F62" s="401">
        <f t="shared" ca="1" si="3"/>
        <v>4.402000000000001</v>
      </c>
      <c r="G62" s="408">
        <f t="shared" ca="1" si="4"/>
        <v>106.76255606214158</v>
      </c>
      <c r="H62" s="404">
        <f t="shared" ca="1" si="5"/>
        <v>7.7638009665395504E-4</v>
      </c>
      <c r="I62" s="404">
        <f t="shared" ca="1" si="6"/>
        <v>8.6747512616821394E-4</v>
      </c>
      <c r="J62" s="404">
        <f t="shared" ca="1" si="7"/>
        <v>591.95549224948547</v>
      </c>
      <c r="K62" s="411">
        <f t="shared" ca="1" si="8"/>
        <v>287.51664872082887</v>
      </c>
      <c r="L62" s="414">
        <f t="shared" ca="1" si="9"/>
        <v>1812.4243811681736</v>
      </c>
      <c r="M62" s="417">
        <f t="shared" ca="1" si="10"/>
        <v>16.777476867709638</v>
      </c>
    </row>
    <row r="63" spans="2:13" x14ac:dyDescent="0.2">
      <c r="B63" s="426">
        <f t="shared" si="12"/>
        <v>126</v>
      </c>
      <c r="C63" s="404">
        <f t="shared" si="1"/>
        <v>3.8186255053924787E-3</v>
      </c>
      <c r="D63" s="401">
        <f ca="1">MpropuPlein+1*MasseSans</f>
        <v>6.6850000000000005</v>
      </c>
      <c r="E63" s="401">
        <f t="shared" ca="1" si="2"/>
        <v>6.1685000000000008</v>
      </c>
      <c r="F63" s="401">
        <f t="shared" ca="1" si="3"/>
        <v>5.652000000000001</v>
      </c>
      <c r="G63" s="408">
        <f t="shared" ca="1" si="4"/>
        <v>83.140006807431845</v>
      </c>
      <c r="H63" s="404">
        <f t="shared" ca="1" si="5"/>
        <v>6.1905252579921833E-4</v>
      </c>
      <c r="I63" s="404">
        <f t="shared" ca="1" si="6"/>
        <v>6.7562376245443702E-4</v>
      </c>
      <c r="J63" s="404">
        <f t="shared" ca="1" si="7"/>
        <v>485.26636849290031</v>
      </c>
      <c r="K63" s="411">
        <f t="shared" ca="1" si="8"/>
        <v>246.28285155883526</v>
      </c>
      <c r="L63" s="414">
        <f t="shared" ca="1" si="9"/>
        <v>1702.141598159162</v>
      </c>
      <c r="M63" s="417">
        <f t="shared" ca="1" si="10"/>
        <v>17.295275788629993</v>
      </c>
    </row>
    <row r="64" spans="2:13" x14ac:dyDescent="0.2">
      <c r="B64" s="426">
        <f t="shared" si="12"/>
        <v>126</v>
      </c>
      <c r="C64" s="404">
        <f t="shared" si="1"/>
        <v>3.8186255053924787E-3</v>
      </c>
      <c r="D64" s="401">
        <f ca="1">MpropuPlein+1.25*MasseSans</f>
        <v>7.9350000000000005</v>
      </c>
      <c r="E64" s="401">
        <f t="shared" ca="1" si="2"/>
        <v>7.4185000000000008</v>
      </c>
      <c r="F64" s="401">
        <f t="shared" ca="1" si="3"/>
        <v>6.902000000000001</v>
      </c>
      <c r="G64" s="408">
        <f t="shared" ca="1" si="4"/>
        <v>67.478146794047774</v>
      </c>
      <c r="H64" s="404">
        <f t="shared" ca="1" si="5"/>
        <v>5.1474361466502365E-4</v>
      </c>
      <c r="I64" s="404">
        <f t="shared" ca="1" si="6"/>
        <v>5.5326362002209185E-4</v>
      </c>
      <c r="J64" s="404">
        <f t="shared" ca="1" si="7"/>
        <v>405.80297847349868</v>
      </c>
      <c r="K64" s="411">
        <f t="shared" ca="1" si="8"/>
        <v>211.5788859421956</v>
      </c>
      <c r="L64" s="414">
        <f t="shared" ca="1" si="9"/>
        <v>1544.3126751978366</v>
      </c>
      <c r="M64" s="417">
        <f t="shared" ca="1" si="10"/>
        <v>17.28686470509998</v>
      </c>
    </row>
    <row r="65" spans="2:13" x14ac:dyDescent="0.2">
      <c r="B65" s="426">
        <f t="shared" si="12"/>
        <v>126</v>
      </c>
      <c r="C65" s="404">
        <f t="shared" si="1"/>
        <v>3.8186255053924787E-3</v>
      </c>
      <c r="D65" s="401">
        <f ca="1">MpropuPlein+1.5*MasseSans</f>
        <v>9.1850000000000005</v>
      </c>
      <c r="E65" s="401">
        <f t="shared" ca="1" si="2"/>
        <v>8.6684999999999999</v>
      </c>
      <c r="F65" s="401">
        <f t="shared" ca="1" si="3"/>
        <v>8.152000000000001</v>
      </c>
      <c r="G65" s="408">
        <f t="shared" ca="1" si="4"/>
        <v>56.333175519598939</v>
      </c>
      <c r="H65" s="404">
        <f t="shared" ca="1" si="5"/>
        <v>4.4051744885418225E-4</v>
      </c>
      <c r="I65" s="404">
        <f t="shared" ca="1" si="6"/>
        <v>4.6842805512665336E-4</v>
      </c>
      <c r="J65" s="404">
        <f t="shared" ca="1" si="7"/>
        <v>345.16858499908903</v>
      </c>
      <c r="K65" s="411">
        <f t="shared" ca="1" si="8"/>
        <v>183.11798529795902</v>
      </c>
      <c r="L65" s="414">
        <f t="shared" ca="1" si="9"/>
        <v>1365.5591606797038</v>
      </c>
      <c r="M65" s="417">
        <f t="shared" ca="1" si="10"/>
        <v>16.896229491829157</v>
      </c>
    </row>
    <row r="66" spans="2:13" x14ac:dyDescent="0.2">
      <c r="B66" s="426">
        <f t="shared" si="12"/>
        <v>126</v>
      </c>
      <c r="C66" s="404">
        <f t="shared" si="1"/>
        <v>3.8186255053924787E-3</v>
      </c>
      <c r="D66" s="401">
        <f ca="1">MpropuPlein+1.75*MasseSans</f>
        <v>10.435</v>
      </c>
      <c r="E66" s="401">
        <f t="shared" ca="1" si="2"/>
        <v>9.9184999999999999</v>
      </c>
      <c r="F66" s="401">
        <f t="shared" ca="1" si="3"/>
        <v>9.402000000000001</v>
      </c>
      <c r="G66" s="408">
        <f t="shared" ca="1" si="4"/>
        <v>47.99734153265549</v>
      </c>
      <c r="H66" s="404">
        <f t="shared" ca="1" si="5"/>
        <v>3.8500030300876937E-4</v>
      </c>
      <c r="I66" s="404">
        <f t="shared" ca="1" si="6"/>
        <v>4.0615034092666221E-4</v>
      </c>
      <c r="J66" s="404">
        <f t="shared" ca="1" si="7"/>
        <v>297.74763478612363</v>
      </c>
      <c r="K66" s="411">
        <f t="shared" ca="1" si="8"/>
        <v>159.8199149630596</v>
      </c>
      <c r="L66" s="414">
        <f t="shared" ca="1" si="9"/>
        <v>1185.9541295824761</v>
      </c>
      <c r="M66" s="417">
        <f t="shared" ca="1" si="10"/>
        <v>16.254016162402934</v>
      </c>
    </row>
    <row r="67" spans="2:13" x14ac:dyDescent="0.2">
      <c r="B67" s="427">
        <f t="shared" si="12"/>
        <v>126</v>
      </c>
      <c r="C67" s="405">
        <f t="shared" si="1"/>
        <v>3.8186255053924787E-3</v>
      </c>
      <c r="D67" s="402">
        <f ca="1">MpropuPlein+2*MasseSans</f>
        <v>11.685</v>
      </c>
      <c r="E67" s="402">
        <f t="shared" ca="1" si="2"/>
        <v>11.1685</v>
      </c>
      <c r="F67" s="402">
        <f t="shared" ca="1" si="3"/>
        <v>10.652000000000001</v>
      </c>
      <c r="G67" s="409">
        <f t="shared" ca="1" si="4"/>
        <v>41.527432689407121</v>
      </c>
      <c r="H67" s="405">
        <f t="shared" ca="1" si="5"/>
        <v>3.4191032863790829E-4</v>
      </c>
      <c r="I67" s="405">
        <f t="shared" ca="1" si="6"/>
        <v>3.5848906359298518E-4</v>
      </c>
      <c r="J67" s="405">
        <f t="shared" ca="1" si="7"/>
        <v>259.82057155375026</v>
      </c>
      <c r="K67" s="412">
        <f t="shared" ca="1" si="8"/>
        <v>140.60944484430837</v>
      </c>
      <c r="L67" s="415">
        <f t="shared" ca="1" si="9"/>
        <v>1018.2465399621926</v>
      </c>
      <c r="M67" s="418">
        <f t="shared" ca="1" si="10"/>
        <v>15.469664956762637</v>
      </c>
    </row>
    <row r="71" spans="2:13" x14ac:dyDescent="0.2">
      <c r="B71" s="24" t="str">
        <f>IF(Lang="Français","Textes pour les graphiques :","Texts for graphics :")</f>
        <v>Textes pour les graphiques :</v>
      </c>
    </row>
    <row r="73" spans="2:13" x14ac:dyDescent="0.2">
      <c r="B73" t="str">
        <f>IF(Lang="Français","Masse totale",IF(Lang="English","Total Mass",""))</f>
        <v>Masse totale</v>
      </c>
    </row>
    <row r="74" spans="2:13" x14ac:dyDescent="0.2">
      <c r="B74" t="str">
        <f>IF(Lang="Français","Vitesse max",IF(Lang="English","Max Velocity",""))</f>
        <v>Vitesse max</v>
      </c>
    </row>
    <row r="75" spans="2:13" x14ac:dyDescent="0.2">
      <c r="B75" t="str">
        <f>Abaco!$B$74 &amp; " / " &amp; Abaco!$B$73</f>
        <v>Vitesse max / Masse totale</v>
      </c>
    </row>
    <row r="76" spans="2:13" x14ac:dyDescent="0.2">
      <c r="B76" t="str">
        <f>IF(Lang="Français","Altitude max",IF(Lang="English","Max Altitude",""))</f>
        <v>Altitude max</v>
      </c>
    </row>
    <row r="77" spans="2:13" x14ac:dyDescent="0.2">
      <c r="B77" t="str">
        <f>Abaco!$B$76 &amp; " / " &amp; Abaco!$B$73</f>
        <v>Altitude max / Masse totale</v>
      </c>
    </row>
    <row r="78" spans="2:13" x14ac:dyDescent="0.2">
      <c r="B78" t="str">
        <f>IF(Lang="Français","Temps de culmination",IF(Lang="English","Apogee time",""))</f>
        <v>Temps de culmination</v>
      </c>
    </row>
    <row r="79" spans="2:13" x14ac:dyDescent="0.2">
      <c r="B79" t="str">
        <f>Abaco!$B$78 &amp; " / " &amp; Abaco!$B$73</f>
        <v>Temps de culmination / Masse totale</v>
      </c>
    </row>
  </sheetData>
  <sheetProtection password="C6AC" sheet="1"/>
  <mergeCells count="12">
    <mergeCell ref="C10:D10"/>
    <mergeCell ref="C12:D12"/>
    <mergeCell ref="C14:D14"/>
    <mergeCell ref="C15:D15"/>
    <mergeCell ref="C16:D16"/>
    <mergeCell ref="C11:D11"/>
    <mergeCell ref="C9:D9"/>
    <mergeCell ref="C2:D3"/>
    <mergeCell ref="C4:D4"/>
    <mergeCell ref="C5:D5"/>
    <mergeCell ref="C7:D7"/>
    <mergeCell ref="C8:D8"/>
  </mergeCells>
  <dataValidations count="3">
    <dataValidation type="decimal" errorStyle="warning" showErrorMessage="1" errorTitle="Cx" error="Le Cx est souvent compris entre 0 et 1._x000a_Cx may be between 0 &amp; 1." sqref="C16:D16" xr:uid="{00000000-0002-0000-0500-000000000000}">
      <formula1>0</formula1>
      <formula2>1</formula2>
    </dataValidation>
    <dataValidation operator="greaterThanOrEqual" sqref="C10:D11" xr:uid="{00000000-0002-0000-0500-000001000000}"/>
    <dataValidation sqref="C12:D12" xr:uid="{00000000-0002-0000-0500-000002000000}"/>
  </dataValidations>
  <hyperlinks>
    <hyperlink ref="B12" location="Stabilito!C17" display="Stabilito!C17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04063" r:id="rId4" name="Spinner 31">
              <controlPr defaultSize="0" print="0" autoPict="0">
                <anchor moveWithCells="1" sizeWithCells="1">
                  <from>
                    <xdr:col>3</xdr:col>
                    <xdr:colOff>638175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202" r:id="rId5" name="Spinner 170">
              <controlPr defaultSize="0" print="0" autoPict="0">
                <anchor moveWithCells="1" sizeWithCells="1">
                  <from>
                    <xdr:col>3</xdr:col>
                    <xdr:colOff>638175</xdr:colOff>
                    <xdr:row>10</xdr:row>
                    <xdr:rowOff>9525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pageSetUpPr fitToPage="1"/>
  </sheetPr>
  <dimension ref="C2:H59"/>
  <sheetViews>
    <sheetView showGridLines="0" workbookViewId="0">
      <selection activeCell="G29" sqref="G29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3.42578125" customWidth="1"/>
  </cols>
  <sheetData>
    <row r="2" spans="3:8" x14ac:dyDescent="0.2">
      <c r="C2" s="625" t="s">
        <v>179</v>
      </c>
      <c r="D2" s="625"/>
    </row>
    <row r="3" spans="3:8" x14ac:dyDescent="0.2">
      <c r="C3" s="625"/>
      <c r="D3" s="625"/>
    </row>
    <row r="5" spans="3:8" x14ac:dyDescent="0.2">
      <c r="C5" s="13" t="str">
        <f>IF(Lang="Français","Stabilité de fusée à ailerons","Stability of finned rocket")</f>
        <v>Stabilité de fusée à ailerons</v>
      </c>
    </row>
    <row r="6" spans="3:8" x14ac:dyDescent="0.2">
      <c r="C6" s="2" t="str">
        <f>IF(Lang="Français","Calculs de Stabilité basés sur les équations de Barrowman","Stability calculs are based on Barrowman equations")</f>
        <v>Calculs de Stabilité basés sur les équations de Barrowman</v>
      </c>
    </row>
    <row r="7" spans="3:8" x14ac:dyDescent="0.2">
      <c r="C7" s="13" t="str">
        <f>IF(Lang="Français","Trajectographie de fusée","Rocket Trajectography")</f>
        <v>Trajectographie de fusée</v>
      </c>
    </row>
    <row r="8" spans="3:8" x14ac:dyDescent="0.2">
      <c r="C8" s="2" t="str">
        <f>IF(Lang="Français","Trajectoire dans un plan par calcul pas à pas","Trajectory in a plane, step by step computation")</f>
        <v>Trajectoire dans un plan par calcul pas à pas</v>
      </c>
    </row>
    <row r="9" spans="3:8" x14ac:dyDescent="0.2">
      <c r="C9" s="2"/>
    </row>
    <row r="10" spans="3:8" x14ac:dyDescent="0.2">
      <c r="C10" s="14" t="str">
        <f>IF(Lang="Français","Documentation et équations :","Documentation and equations are aviable in french:")</f>
        <v>Documentation et équations :</v>
      </c>
    </row>
    <row r="11" spans="3:8" x14ac:dyDescent="0.2">
      <c r="C11" t="str">
        <f>IF(Lang="Français","voir le dossier technique Planète-Sciences ''Le Vol de la Fusée, Stabilité &amp; Trajectographie''","dossier technique Planète-Sciences ''Le Vol de la Fusée, Stabilité &amp; Trajectographie''")</f>
        <v>voir le dossier technique Planète-Sciences ''Le Vol de la Fusée, Stabilité &amp; Trajectographie''</v>
      </c>
    </row>
    <row r="12" spans="3:8" x14ac:dyDescent="0.2">
      <c r="C12" t="str">
        <f>IF(Lang="Français","Néanmoins, les équations d'intégration du mouvement utilisées sont légèrement différentes !","")</f>
        <v>Néanmoins, les équations d'intégration du mouvement utilisées sont légèrement différentes !</v>
      </c>
    </row>
    <row r="13" spans="3:8" x14ac:dyDescent="0.2">
      <c r="C13" t="str">
        <f>IF(Lang="Français","Logiciels et dossier technique téléchargeables sur :","Softwares and french documentation can be downloaded at:")</f>
        <v>Logiciels et dossier technique téléchargeables sur :</v>
      </c>
      <c r="H13" s="15" t="s">
        <v>40</v>
      </c>
    </row>
    <row r="15" spans="3:8" x14ac:dyDescent="0.2">
      <c r="C15" s="14" t="str">
        <f>IF(Lang="Français","Pour les experts :","For experts:")</f>
        <v>Pour les experts :</v>
      </c>
    </row>
    <row r="16" spans="3:8" x14ac:dyDescent="0.2">
      <c r="C16" t="str">
        <f>IF(Lang="Français","Pour les curieux et les experts, vous pouvez déprotéger les feuilles de calcul (mot de passe : anstj),","Curious people can unlock excel sheets with this password : anstj")</f>
        <v>Pour les curieux et les experts, vous pouvez déprotéger les feuilles de calcul (mot de passe : anstj),</v>
      </c>
    </row>
    <row r="17" spans="3:8" x14ac:dyDescent="0.2">
      <c r="C17" t="str">
        <f>IF(Lang="Français","et faire vos modifications personnelles (ajout de moteur...).","and do your personal modification (adding a motor...)")</f>
        <v>et faire vos modifications personnelles (ajout de moteur...).</v>
      </c>
    </row>
    <row r="18" spans="3:8" x14ac:dyDescent="0.2">
      <c r="C18" t="s">
        <v>419</v>
      </c>
    </row>
    <row r="19" spans="3:8" x14ac:dyDescent="0.2">
      <c r="C19" t="str">
        <f>IF(Lang="Français","Merci néanmoins de diffuser uniquement la version officielle protégée (fichier initial).","Please avoid distributing unlocked version.")</f>
        <v>Merci néanmoins de diffuser uniquement la version officielle protégée (fichier initial).</v>
      </c>
    </row>
    <row r="20" spans="3:8" x14ac:dyDescent="0.2">
      <c r="C20" t="str">
        <f>IF(Lang="Français","Aucune Macro. Mise en forme conditionnelle, Noms de zone.","No macro. Conditionnal formating, named zones.")</f>
        <v>Aucune Macro. Mise en forme conditionnelle, Noms de zone.</v>
      </c>
    </row>
    <row r="21" spans="3:8" x14ac:dyDescent="0.2">
      <c r="C21" s="48" t="str">
        <f>IF(Lang="Français","Pour changer les choix des menus déroulants et les restrictions des cellules jaunes, cf. Données&gt; Validations…", "To change choices menu &amp; yellow cells restrictions, go to data validation.")</f>
        <v>Pour changer les choix des menus déroulants et les restrictions des cellules jaunes, cf. Données&gt; Validations…</v>
      </c>
    </row>
    <row r="22" spans="3:8" x14ac:dyDescent="0.2">
      <c r="C22" s="48" t="str">
        <f>IF(Lang="Français","Les unités sont réglés dans le Format de la cellule.","Units are set in cell number Format")</f>
        <v>Les unités sont réglés dans le Format de la cellule.</v>
      </c>
      <c r="H22" s="15" t="s">
        <v>38</v>
      </c>
    </row>
    <row r="23" spans="3:8" x14ac:dyDescent="0.2">
      <c r="C23" t="str">
        <f>IF(Lang="Français","Vous pouvez proposer vos améliorations en envoyant votre fichier à : ","Send all remarks and improvements proposals to:")</f>
        <v xml:space="preserve">Vous pouvez proposer vos améliorations en envoyant votre fichier à : </v>
      </c>
      <c r="H23" s="15"/>
    </row>
    <row r="25" spans="3:8" x14ac:dyDescent="0.2">
      <c r="C25" s="14" t="str">
        <f>IF(Lang="Français","Licence :","License:")</f>
        <v>Licence :</v>
      </c>
      <c r="D25" s="16"/>
    </row>
    <row r="26" spans="3:8" x14ac:dyDescent="0.2">
      <c r="C26" t="str">
        <f>IF(Lang="Français","Ce logiciel est placé sous la licence Creative Commons BY-SA","This software is placed under Creative Commons licence BY-SA")</f>
        <v>Ce logiciel est placé sous la licence Creative Commons BY-SA</v>
      </c>
      <c r="H26" s="68" t="s">
        <v>123</v>
      </c>
    </row>
    <row r="28" spans="3:8" x14ac:dyDescent="0.2">
      <c r="C28" s="14" t="str">
        <f>IF(Lang="Français","Compatibilité :","Compatibility:")</f>
        <v>Compatibilité :</v>
      </c>
    </row>
    <row r="29" spans="3:8" x14ac:dyDescent="0.2">
      <c r="C29" t="s">
        <v>153</v>
      </c>
    </row>
    <row r="30" spans="3:8" x14ac:dyDescent="0.2">
      <c r="C30" t="s">
        <v>300</v>
      </c>
    </row>
    <row r="31" spans="3:8" x14ac:dyDescent="0.2">
      <c r="C31" s="49" t="s">
        <v>111</v>
      </c>
    </row>
    <row r="33" spans="3:6" x14ac:dyDescent="0.2">
      <c r="C33" s="14" t="str">
        <f>IF(Lang="Français","Historique :","History:")</f>
        <v>Historique :</v>
      </c>
    </row>
    <row r="34" spans="3:6" x14ac:dyDescent="0.2">
      <c r="C34" t="s">
        <v>103</v>
      </c>
      <c r="D34" t="s">
        <v>43</v>
      </c>
      <c r="E34" s="47" t="s">
        <v>102</v>
      </c>
      <c r="F34" t="str">
        <f>IF(Lang="Français","Essais personnels, héritage d'une feuille de calcul de Vincent Girard, ESO","Personnel tests")</f>
        <v>Essais personnels, héritage d'une feuille de calcul de Vincent Girard, ESO</v>
      </c>
    </row>
    <row r="35" spans="3:6" x14ac:dyDescent="0.2">
      <c r="C35" t="s">
        <v>104</v>
      </c>
      <c r="D35" t="s">
        <v>43</v>
      </c>
      <c r="E35" s="16">
        <v>39483</v>
      </c>
      <c r="F35" t="str">
        <f>IF(Lang="Français","Equations de Barrowman généralisées (D_ref), masquage inter-ailerons, bilingue fr-en","Generalized Barrowman equations (D_ref), fin-fin interaction, english translation")</f>
        <v>Equations de Barrowman généralisées (D_ref), masquage inter-ailerons, bilingue fr-en</v>
      </c>
    </row>
    <row r="36" spans="3:6" x14ac:dyDescent="0.2">
      <c r="C36" t="s">
        <v>105</v>
      </c>
      <c r="D36" t="s">
        <v>43</v>
      </c>
      <c r="E36" s="16">
        <v>39507</v>
      </c>
      <c r="F36" t="str">
        <f>IF(Lang="Français","Schéma de la fusée, estimation analytique de la trajecto, diagramme des critères","Rocket schematic, analytical trajecto, criterions diagram")</f>
        <v>Schéma de la fusée, estimation analytique de la trajecto, diagramme des critères</v>
      </c>
    </row>
    <row r="37" spans="3:6" x14ac:dyDescent="0.2">
      <c r="C37" t="s">
        <v>106</v>
      </c>
      <c r="D37" t="s">
        <v>43</v>
      </c>
      <c r="E37" s="16">
        <v>39694</v>
      </c>
      <c r="F37" t="str">
        <f>IF(Lang="Français","Mise en forme","Formatting")</f>
        <v>Mise en forme</v>
      </c>
    </row>
    <row r="38" spans="3:6" x14ac:dyDescent="0.2">
      <c r="C38" t="s">
        <v>107</v>
      </c>
      <c r="D38" t="s">
        <v>43</v>
      </c>
      <c r="E38" s="16">
        <v>39643</v>
      </c>
      <c r="F38" t="str">
        <f>IF(Lang="Français","Essais personnels, héritage d'une feuille de calcul de Félicien Roux, ESO","Personal tests")</f>
        <v>Essais personnels, héritage d'une feuille de calcul de Félicien Roux, ESO</v>
      </c>
    </row>
    <row r="39" spans="3:6" x14ac:dyDescent="0.2">
      <c r="C39" t="s">
        <v>108</v>
      </c>
      <c r="D39" t="s">
        <v>43</v>
      </c>
      <c r="E39" s="16">
        <v>39755</v>
      </c>
      <c r="F39" t="str">
        <f>IF(Lang="Français","Réécriture équations, traduction, érgonomie","Equations, traduction, ergonomy")</f>
        <v>Réécriture équations, traduction, érgonomie</v>
      </c>
    </row>
    <row r="40" spans="3:6" x14ac:dyDescent="0.2">
      <c r="C40" t="s">
        <v>109</v>
      </c>
      <c r="D40" t="s">
        <v>43</v>
      </c>
      <c r="E40" s="16">
        <v>39756</v>
      </c>
      <c r="F40" t="str">
        <f>IF(Lang="Français","Conditions Initiales pour vol 2e étage, 1ère publication","Initial Conditions, 1st publication")</f>
        <v>Conditions Initiales pour vol 2e étage, 1ère publication</v>
      </c>
    </row>
    <row r="41" spans="3:6" x14ac:dyDescent="0.2">
      <c r="C41" t="s">
        <v>110</v>
      </c>
      <c r="D41" t="s">
        <v>43</v>
      </c>
      <c r="E41" s="16">
        <v>40658</v>
      </c>
      <c r="F41" t="s">
        <v>53</v>
      </c>
    </row>
    <row r="42" spans="3:6" x14ac:dyDescent="0.2">
      <c r="C42" t="s">
        <v>180</v>
      </c>
      <c r="D42" t="s">
        <v>43</v>
      </c>
      <c r="E42" s="16">
        <v>40868</v>
      </c>
      <c r="F42" t="str">
        <f>IF(Lang="Français","Fusion Stabilito+Trajecto, mise en forme, Ctrl, RC, H2O, Abaco","Merge Stabilito+Trajecto, formatting, Ctrl, RC, H2O, Abaco")</f>
        <v>Fusion Stabilito+Trajecto, mise en forme, Ctrl, RC, H2O, Abaco</v>
      </c>
    </row>
    <row r="43" spans="3:6" x14ac:dyDescent="0.2">
      <c r="C43" t="s">
        <v>327</v>
      </c>
      <c r="D43" t="s">
        <v>43</v>
      </c>
      <c r="E43" s="16">
        <v>41194</v>
      </c>
      <c r="F43" t="s">
        <v>331</v>
      </c>
    </row>
    <row r="44" spans="3:6" x14ac:dyDescent="0.2">
      <c r="C44" t="s">
        <v>328</v>
      </c>
      <c r="D44" t="s">
        <v>43</v>
      </c>
      <c r="E44" s="16">
        <v>41329</v>
      </c>
      <c r="F44" t="s">
        <v>332</v>
      </c>
    </row>
    <row r="45" spans="3:6" x14ac:dyDescent="0.2">
      <c r="C45" t="s">
        <v>416</v>
      </c>
      <c r="D45" t="s">
        <v>395</v>
      </c>
      <c r="E45" s="16">
        <v>41947</v>
      </c>
      <c r="F45" t="s">
        <v>415</v>
      </c>
    </row>
    <row r="46" spans="3:6" x14ac:dyDescent="0.2">
      <c r="C46" t="s">
        <v>420</v>
      </c>
      <c r="D46" t="s">
        <v>395</v>
      </c>
      <c r="E46" s="16">
        <v>41965</v>
      </c>
      <c r="F46" t="s">
        <v>418</v>
      </c>
    </row>
    <row r="47" spans="3:6" x14ac:dyDescent="0.2">
      <c r="C47" t="s">
        <v>542</v>
      </c>
      <c r="D47" t="s">
        <v>395</v>
      </c>
      <c r="E47" s="16">
        <v>43048</v>
      </c>
      <c r="F47" t="s">
        <v>543</v>
      </c>
    </row>
    <row r="48" spans="3:6" x14ac:dyDescent="0.2">
      <c r="C48" t="s">
        <v>547</v>
      </c>
      <c r="D48" t="s">
        <v>395</v>
      </c>
      <c r="E48" s="16">
        <v>44160</v>
      </c>
      <c r="F48" t="s">
        <v>548</v>
      </c>
    </row>
    <row r="49" spans="3:6" x14ac:dyDescent="0.2">
      <c r="E49" s="16"/>
    </row>
    <row r="51" spans="3:6" x14ac:dyDescent="0.2">
      <c r="C51" s="14" t="str">
        <f>IF(Lang="Français","Paramètres de référence :","Reference parameters:")</f>
        <v>Paramètres de référence :</v>
      </c>
    </row>
    <row r="52" spans="3:6" x14ac:dyDescent="0.2">
      <c r="C52" s="62" t="str">
        <f>IF(Lang="Français","Gravité g :","Gravity g")</f>
        <v>Gravité g :</v>
      </c>
      <c r="E52" s="62">
        <v>9.81</v>
      </c>
      <c r="F52" s="62" t="s">
        <v>7</v>
      </c>
    </row>
    <row r="53" spans="3:6" x14ac:dyDescent="0.2">
      <c r="C53" s="62" t="str">
        <f>IF(Lang="Français","Masse volumique de l'air ρ :","Air density ρ")</f>
        <v>Masse volumique de l'air ρ :</v>
      </c>
      <c r="E53" s="63">
        <v>1.2250000000000001</v>
      </c>
      <c r="F53" s="62" t="s">
        <v>8</v>
      </c>
    </row>
    <row r="54" spans="3:6" x14ac:dyDescent="0.2">
      <c r="C54" s="48"/>
    </row>
    <row r="55" spans="3:6" x14ac:dyDescent="0.2">
      <c r="C55" s="48"/>
    </row>
    <row r="56" spans="3:6" x14ac:dyDescent="0.2">
      <c r="C56" s="48"/>
    </row>
    <row r="57" spans="3:6" x14ac:dyDescent="0.2">
      <c r="C57" s="48"/>
    </row>
    <row r="58" spans="3:6" x14ac:dyDescent="0.2">
      <c r="C58" s="48"/>
    </row>
    <row r="59" spans="3:6" x14ac:dyDescent="0.2">
      <c r="C59" s="48"/>
    </row>
  </sheetData>
  <sheetProtection password="C6AC" sheet="1" objects="1" scenarios="1"/>
  <mergeCells count="1">
    <mergeCell ref="C2:D3"/>
  </mergeCells>
  <phoneticPr fontId="8" type="noConversion"/>
  <hyperlinks>
    <hyperlink ref="H13" r:id="rId1" xr:uid="{00000000-0004-0000-0600-000000000000}"/>
    <hyperlink ref="H22" r:id="rId2" xr:uid="{00000000-0004-0000-0600-000001000000}"/>
    <hyperlink ref="H26" r:id="rId3" xr:uid="{00000000-0004-0000-0600-000002000000}"/>
  </hyperlinks>
  <pageMargins left="0.39370078740157483" right="0.39370078740157483" top="0.39370078740157483" bottom="0.39370078740157483" header="0" footer="0"/>
  <pageSetup scale="73" firstPageNumber="0" orientation="portrait" horizontalDpi="300" verticalDpi="300" r:id="rId4"/>
  <headerFooter alignWithMargins="0"/>
  <drawing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>
    <pageSetUpPr fitToPage="1"/>
  </sheetPr>
  <dimension ref="B1:U134"/>
  <sheetViews>
    <sheetView showGridLines="0" topLeftCell="D1" zoomScaleNormal="100" workbookViewId="0">
      <selection activeCell="H4" sqref="H4"/>
    </sheetView>
  </sheetViews>
  <sheetFormatPr baseColWidth="10" defaultColWidth="11.42578125" defaultRowHeight="12.75" x14ac:dyDescent="0.2"/>
  <cols>
    <col min="1" max="2" width="2.140625" customWidth="1"/>
    <col min="3" max="3" width="12.42578125" customWidth="1"/>
    <col min="4" max="4" width="21" customWidth="1"/>
    <col min="7" max="7" width="26.42578125" customWidth="1"/>
    <col min="8" max="9" width="6.7109375" customWidth="1"/>
    <col min="10" max="10" width="10" customWidth="1"/>
    <col min="11" max="11" width="13" customWidth="1"/>
    <col min="12" max="12" width="21.28515625" customWidth="1"/>
    <col min="14" max="14" width="2.140625" customWidth="1"/>
    <col min="18" max="19" width="16.28515625" customWidth="1"/>
  </cols>
  <sheetData>
    <row r="1" spans="2:21" ht="13.5" thickBot="1" x14ac:dyDescent="0.25">
      <c r="O1" s="6"/>
      <c r="P1" s="48"/>
      <c r="Q1" s="48"/>
      <c r="R1" s="48"/>
      <c r="S1" s="48"/>
      <c r="T1" s="48"/>
      <c r="U1" s="48"/>
    </row>
    <row r="2" spans="2:21" ht="13.5" thickBot="1" x14ac:dyDescent="0.2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6"/>
      <c r="P2" s="48"/>
      <c r="Q2" s="48"/>
      <c r="R2" s="48"/>
      <c r="S2" s="48"/>
      <c r="T2" s="48"/>
      <c r="U2" s="48"/>
    </row>
    <row r="3" spans="2:21" ht="15.75" customHeight="1" thickBot="1" x14ac:dyDescent="0.25">
      <c r="B3" s="74"/>
      <c r="D3" s="2" t="s">
        <v>429</v>
      </c>
      <c r="N3" s="75"/>
      <c r="O3" s="6"/>
      <c r="P3" s="273" t="s">
        <v>340</v>
      </c>
      <c r="Q3" s="441">
        <f>Long_ogive</f>
        <v>275</v>
      </c>
      <c r="R3" s="48"/>
      <c r="S3" s="48"/>
      <c r="T3" s="48"/>
      <c r="U3" s="48"/>
    </row>
    <row r="4" spans="2:21" ht="15.75" customHeight="1" x14ac:dyDescent="0.2">
      <c r="B4" s="74"/>
      <c r="D4" s="2"/>
      <c r="N4" s="75"/>
      <c r="O4" s="6"/>
      <c r="P4" s="273"/>
      <c r="Q4" s="436"/>
      <c r="R4" s="48"/>
      <c r="S4" s="48"/>
      <c r="T4" s="48"/>
      <c r="U4" s="48"/>
    </row>
    <row r="5" spans="2:21" ht="15.75" customHeight="1" x14ac:dyDescent="0.2">
      <c r="B5" s="74"/>
      <c r="D5" t="s">
        <v>462</v>
      </c>
      <c r="E5" t="str">
        <f>Propu</f>
        <v>Barasinga (Pro54-5G C)</v>
      </c>
      <c r="G5" t="s">
        <v>459</v>
      </c>
      <c r="H5">
        <f>MasseSans</f>
        <v>5</v>
      </c>
      <c r="N5" s="75"/>
      <c r="O5" s="6"/>
      <c r="P5" s="273"/>
      <c r="Q5" s="436"/>
      <c r="R5" s="48"/>
      <c r="S5" s="48"/>
      <c r="T5" s="48"/>
      <c r="U5" s="48"/>
    </row>
    <row r="6" spans="2:21" x14ac:dyDescent="0.2">
      <c r="B6" s="74"/>
      <c r="D6" t="s">
        <v>455</v>
      </c>
      <c r="E6" s="2" t="str">
        <f>Trajecto!H32</f>
        <v>gris/rouge</v>
      </c>
      <c r="G6" t="s">
        <v>460</v>
      </c>
      <c r="H6">
        <f>D_ref</f>
        <v>84</v>
      </c>
      <c r="N6" s="75"/>
      <c r="O6" s="6"/>
      <c r="P6" s="273"/>
      <c r="Q6" s="436"/>
      <c r="R6" s="48"/>
      <c r="S6" s="48"/>
      <c r="T6" s="48"/>
      <c r="U6" s="48"/>
    </row>
    <row r="7" spans="2:21" x14ac:dyDescent="0.2">
      <c r="B7" s="74"/>
      <c r="D7" t="s">
        <v>457</v>
      </c>
      <c r="E7" s="2" t="str">
        <f>Trajecto!H33</f>
        <v>rose</v>
      </c>
      <c r="G7" t="s">
        <v>5</v>
      </c>
      <c r="H7">
        <f>Cx</f>
        <v>0.5</v>
      </c>
      <c r="N7" s="75"/>
      <c r="O7" s="6"/>
      <c r="P7" s="273"/>
      <c r="Q7" s="436"/>
      <c r="R7" s="48"/>
      <c r="S7" s="48"/>
      <c r="T7" s="48"/>
      <c r="U7" s="48"/>
    </row>
    <row r="8" spans="2:21" x14ac:dyDescent="0.2">
      <c r="B8" s="74"/>
      <c r="D8" t="s">
        <v>458</v>
      </c>
      <c r="E8" s="2">
        <f>S_para</f>
        <v>0.24</v>
      </c>
      <c r="G8" t="s">
        <v>461</v>
      </c>
      <c r="H8">
        <f>L_rampe</f>
        <v>0</v>
      </c>
      <c r="N8" s="75"/>
      <c r="O8" s="6"/>
      <c r="P8" s="273"/>
      <c r="Q8" s="436"/>
      <c r="R8" s="48"/>
      <c r="S8" s="48"/>
      <c r="T8" s="48"/>
      <c r="U8" s="48"/>
    </row>
    <row r="9" spans="2:21" x14ac:dyDescent="0.2">
      <c r="B9" s="74"/>
      <c r="D9" t="s">
        <v>456</v>
      </c>
      <c r="E9" s="2"/>
      <c r="G9" t="s">
        <v>147</v>
      </c>
      <c r="H9" s="534" t="str">
        <f>Forme_ogive</f>
        <v>Conique (droite)</v>
      </c>
      <c r="N9" s="75"/>
      <c r="O9" s="6"/>
      <c r="P9" s="273"/>
      <c r="Q9" s="436"/>
      <c r="R9" s="48"/>
      <c r="S9" s="48"/>
      <c r="T9" s="48"/>
      <c r="U9" s="48"/>
    </row>
    <row r="10" spans="2:21" x14ac:dyDescent="0.2">
      <c r="B10" s="74"/>
      <c r="F10" s="3"/>
      <c r="G10" s="6"/>
      <c r="N10" s="75"/>
      <c r="O10" s="523"/>
      <c r="P10" s="48"/>
      <c r="Q10" s="436"/>
      <c r="R10" s="48"/>
      <c r="S10" s="48"/>
      <c r="T10" s="48"/>
      <c r="U10" s="48"/>
    </row>
    <row r="11" spans="2:21" ht="13.5" thickBot="1" x14ac:dyDescent="0.25">
      <c r="B11" s="74"/>
      <c r="C11" s="12"/>
      <c r="D11" s="275" t="s">
        <v>454</v>
      </c>
      <c r="E11" s="243">
        <f>MasseSans</f>
        <v>5</v>
      </c>
      <c r="F11" s="246" t="s">
        <v>124</v>
      </c>
      <c r="G11" s="246" t="s">
        <v>126</v>
      </c>
      <c r="H11" s="658" t="e">
        <f ca="1">Vsortie_de_rampe</f>
        <v>#N/A</v>
      </c>
      <c r="I11" s="659"/>
      <c r="J11" s="76"/>
      <c r="N11" s="75"/>
      <c r="P11" s="48"/>
      <c r="Q11" s="436"/>
      <c r="R11" s="48"/>
      <c r="S11" s="48"/>
      <c r="T11" s="48"/>
      <c r="U11" s="440" t="str">
        <f>IF(RIGHT(Nb_diam,1)=",", "", X_j)</f>
        <v/>
      </c>
    </row>
    <row r="12" spans="2:21" ht="13.5" thickBot="1" x14ac:dyDescent="0.25">
      <c r="B12" s="74"/>
      <c r="C12" s="12"/>
      <c r="D12" s="276"/>
      <c r="E12" s="244"/>
      <c r="F12" s="6" t="s">
        <v>124</v>
      </c>
      <c r="G12" s="6" t="s">
        <v>127</v>
      </c>
      <c r="H12" s="660">
        <f>Finesse</f>
        <v>15.476190476190476</v>
      </c>
      <c r="I12" s="661"/>
      <c r="J12" s="76"/>
      <c r="N12" s="75"/>
      <c r="O12" s="6"/>
      <c r="P12" s="273" t="s">
        <v>341</v>
      </c>
      <c r="Q12" s="441">
        <f>D_og</f>
        <v>84</v>
      </c>
      <c r="R12" s="48"/>
      <c r="S12" s="48"/>
      <c r="T12" s="48"/>
      <c r="U12" s="436"/>
    </row>
    <row r="13" spans="2:21" x14ac:dyDescent="0.2">
      <c r="B13" s="74"/>
      <c r="C13" s="12"/>
      <c r="D13" s="276" t="s">
        <v>5</v>
      </c>
      <c r="E13" s="244">
        <f>Cx</f>
        <v>0.5</v>
      </c>
      <c r="F13" s="6" t="s">
        <v>124</v>
      </c>
      <c r="G13" s="6" t="s">
        <v>433</v>
      </c>
      <c r="H13" s="660">
        <f>Cn</f>
        <v>15.99127552107595</v>
      </c>
      <c r="I13" s="661"/>
      <c r="J13" s="76"/>
      <c r="N13" s="75"/>
      <c r="O13" s="6"/>
      <c r="P13" s="48"/>
      <c r="Q13" s="436"/>
      <c r="R13" s="48"/>
      <c r="S13" s="48"/>
      <c r="T13" s="48"/>
      <c r="U13" s="440" t="str">
        <f>IF(RIGHT(Nb_diam,1)=",", "", X_r)</f>
        <v/>
      </c>
    </row>
    <row r="14" spans="2:21" x14ac:dyDescent="0.2">
      <c r="B14" s="74"/>
      <c r="C14" s="12"/>
      <c r="D14" s="276" t="s">
        <v>144</v>
      </c>
      <c r="E14" s="244">
        <f>L_rampe</f>
        <v>0</v>
      </c>
      <c r="F14" s="6" t="s">
        <v>124</v>
      </c>
      <c r="G14" s="6" t="s">
        <v>128</v>
      </c>
      <c r="H14" s="247">
        <f ca="1">MS_min</f>
        <v>3.3664604190837699</v>
      </c>
      <c r="I14" s="254">
        <f ca="1">MS_max</f>
        <v>4.0506716876554023</v>
      </c>
      <c r="J14" s="76"/>
      <c r="K14" s="76"/>
      <c r="N14" s="75"/>
      <c r="P14" s="48"/>
      <c r="Q14" s="436"/>
      <c r="R14" s="48"/>
      <c r="S14" s="48"/>
      <c r="T14" s="48"/>
      <c r="U14" s="436"/>
    </row>
    <row r="15" spans="2:21" x14ac:dyDescent="0.2">
      <c r="B15" s="74"/>
      <c r="C15" s="12"/>
      <c r="D15" s="276" t="s">
        <v>145</v>
      </c>
      <c r="E15" s="244">
        <f>ep_ail</f>
        <v>3</v>
      </c>
      <c r="F15" s="6" t="s">
        <v>124</v>
      </c>
      <c r="G15" s="6" t="s">
        <v>125</v>
      </c>
      <c r="H15" s="247">
        <f ca="1">MS_Cn_min</f>
        <v>53.833996092365375</v>
      </c>
      <c r="I15" s="254">
        <f ca="1">MS_Cn_max</f>
        <v>64.775407002719248</v>
      </c>
      <c r="J15" s="76"/>
      <c r="K15" s="76"/>
      <c r="N15" s="75"/>
      <c r="P15" s="48"/>
      <c r="Q15" s="436"/>
      <c r="R15" s="48"/>
      <c r="S15" s="48"/>
      <c r="T15" s="48"/>
    </row>
    <row r="16" spans="2:21" x14ac:dyDescent="0.2">
      <c r="B16" s="74"/>
      <c r="C16" s="12"/>
      <c r="D16" s="276" t="s">
        <v>146</v>
      </c>
      <c r="E16" s="244">
        <f>Q_ail</f>
        <v>3</v>
      </c>
      <c r="F16" s="6" t="s">
        <v>129</v>
      </c>
      <c r="G16" s="6" t="s">
        <v>130</v>
      </c>
      <c r="H16" s="247">
        <f ca="1">V_para</f>
        <v>19.421238111817651</v>
      </c>
      <c r="I16" s="253">
        <f>V_satellite</f>
        <v>12.655562623057198</v>
      </c>
      <c r="J16" s="76"/>
      <c r="N16" s="75"/>
      <c r="P16" s="48"/>
      <c r="Q16" s="436"/>
      <c r="R16" s="48"/>
      <c r="S16" s="48"/>
      <c r="T16" s="48"/>
      <c r="U16" s="440" t="str">
        <f>IF(RIGHT(Nb_diam,1)=",", "", l_j)</f>
        <v/>
      </c>
    </row>
    <row r="17" spans="2:21" x14ac:dyDescent="0.2">
      <c r="B17" s="74"/>
      <c r="C17" s="12"/>
      <c r="D17" s="276" t="s">
        <v>147</v>
      </c>
      <c r="E17" s="272" t="str">
        <f>Forme_ogive</f>
        <v>Conique (droite)</v>
      </c>
      <c r="F17" s="6" t="s">
        <v>131</v>
      </c>
      <c r="G17" s="6" t="s">
        <v>132</v>
      </c>
      <c r="H17" s="660">
        <f>T_para</f>
        <v>25.2</v>
      </c>
      <c r="I17" s="661"/>
      <c r="J17" s="258"/>
      <c r="N17" s="75"/>
      <c r="P17" s="434" t="s">
        <v>342</v>
      </c>
      <c r="Q17" s="440" t="str">
        <f>IF(RIGHT(Nb_diam,1)=",", "", D2j)</f>
        <v/>
      </c>
      <c r="R17" s="48"/>
      <c r="S17" s="48"/>
      <c r="T17" s="48"/>
      <c r="U17" s="436"/>
    </row>
    <row r="18" spans="2:21" x14ac:dyDescent="0.2">
      <c r="B18" s="74"/>
      <c r="C18" s="12"/>
      <c r="D18" s="276" t="s">
        <v>149</v>
      </c>
      <c r="E18" s="244">
        <f ca="1">XpropuRef-Long_propu</f>
        <v>762</v>
      </c>
      <c r="F18" s="12" t="s">
        <v>131</v>
      </c>
      <c r="G18" s="12" t="s">
        <v>427</v>
      </c>
      <c r="H18" s="627">
        <f ca="1">T_para-Combustion-Depotage</f>
        <v>25.2</v>
      </c>
      <c r="I18" s="664"/>
      <c r="N18" s="75"/>
      <c r="P18" s="48"/>
      <c r="Q18" s="436"/>
      <c r="R18" s="48"/>
      <c r="S18" s="48"/>
    </row>
    <row r="19" spans="2:21" x14ac:dyDescent="0.2">
      <c r="B19" s="74"/>
      <c r="C19" s="533"/>
      <c r="D19" s="269"/>
      <c r="E19" s="271"/>
      <c r="F19" s="521" t="s">
        <v>133</v>
      </c>
      <c r="G19" s="274" t="s">
        <v>426</v>
      </c>
      <c r="H19" s="665">
        <f ca="1">Portee_balistique</f>
        <v>1416.7607064577739</v>
      </c>
      <c r="I19" s="666"/>
      <c r="N19" s="75"/>
      <c r="P19" s="48"/>
      <c r="Q19" s="436"/>
      <c r="R19" s="48"/>
      <c r="S19" s="48"/>
      <c r="T19" s="48"/>
    </row>
    <row r="20" spans="2:21" x14ac:dyDescent="0.2">
      <c r="B20" s="74"/>
      <c r="C20" s="12"/>
      <c r="D20" s="6"/>
      <c r="E20" s="6"/>
      <c r="H20" s="520"/>
      <c r="I20" s="520"/>
      <c r="N20" s="75"/>
      <c r="P20" s="48"/>
      <c r="Q20" s="436"/>
      <c r="R20" s="48"/>
      <c r="S20" s="48"/>
      <c r="T20" s="48"/>
      <c r="U20" s="440" t="str">
        <f>IF(RIGHT(Nb_diam,1)=",", "", l_r)</f>
        <v/>
      </c>
    </row>
    <row r="21" spans="2:21" x14ac:dyDescent="0.2">
      <c r="B21" s="74"/>
      <c r="C21" s="12"/>
      <c r="D21" s="6"/>
      <c r="E21" s="263"/>
      <c r="F21" s="3"/>
      <c r="G21" s="6"/>
      <c r="H21" s="520"/>
      <c r="I21" s="520"/>
      <c r="N21" s="75"/>
      <c r="O21" s="273"/>
      <c r="P21" s="436"/>
      <c r="Q21" s="48"/>
      <c r="R21" s="48"/>
      <c r="S21" s="48"/>
      <c r="T21" s="226"/>
      <c r="U21" s="436"/>
    </row>
    <row r="22" spans="2:21" x14ac:dyDescent="0.2">
      <c r="B22" s="74"/>
      <c r="C22" s="528" t="s">
        <v>453</v>
      </c>
      <c r="D22" s="528" t="s">
        <v>437</v>
      </c>
      <c r="E22" s="529"/>
      <c r="F22" s="530" t="s">
        <v>442</v>
      </c>
      <c r="G22" s="528" t="s">
        <v>447</v>
      </c>
      <c r="I22" s="531"/>
      <c r="J22" s="532" t="s">
        <v>157</v>
      </c>
      <c r="K22" s="528" t="s">
        <v>158</v>
      </c>
      <c r="N22" s="75"/>
      <c r="O22" s="273"/>
      <c r="P22" s="436"/>
      <c r="Q22" s="48"/>
      <c r="R22" s="48"/>
      <c r="S22" s="48"/>
      <c r="T22" s="226"/>
      <c r="U22" s="436"/>
    </row>
    <row r="23" spans="2:21" x14ac:dyDescent="0.2">
      <c r="B23" s="74"/>
      <c r="C23" s="528" t="s">
        <v>452</v>
      </c>
      <c r="D23" s="529">
        <f>XcgSans</f>
        <v>600</v>
      </c>
      <c r="E23" s="529" t="s">
        <v>39</v>
      </c>
      <c r="F23" s="530">
        <f>m_ail</f>
        <v>330</v>
      </c>
      <c r="G23" s="528">
        <f>m_can</f>
        <v>70</v>
      </c>
      <c r="I23" s="531" t="s">
        <v>448</v>
      </c>
      <c r="J23" s="530">
        <f>l_j</f>
        <v>50</v>
      </c>
      <c r="K23" s="528">
        <f>l_r</f>
        <v>50</v>
      </c>
      <c r="N23" s="75"/>
      <c r="O23" s="273"/>
      <c r="P23" s="436"/>
      <c r="Q23" s="48"/>
      <c r="R23" s="48"/>
      <c r="S23" s="48"/>
      <c r="T23" s="226"/>
      <c r="U23" s="436"/>
    </row>
    <row r="24" spans="2:21" x14ac:dyDescent="0.2">
      <c r="B24" s="74"/>
      <c r="C24" s="528" t="s">
        <v>440</v>
      </c>
      <c r="D24" s="528">
        <f>Long_tot</f>
        <v>1300</v>
      </c>
      <c r="E24" s="529" t="s">
        <v>443</v>
      </c>
      <c r="F24" s="530">
        <f>n_ail</f>
        <v>70</v>
      </c>
      <c r="G24" s="528">
        <f>n_can</f>
        <v>10</v>
      </c>
      <c r="I24" s="531" t="s">
        <v>449</v>
      </c>
      <c r="J24" s="530">
        <f>D1j</f>
        <v>84</v>
      </c>
      <c r="K24" s="528">
        <f>D1r</f>
        <v>84</v>
      </c>
      <c r="N24" s="75"/>
      <c r="O24" s="273"/>
      <c r="P24" s="436"/>
      <c r="Q24" s="48"/>
      <c r="R24" s="48"/>
      <c r="S24" s="48"/>
      <c r="T24" s="226"/>
      <c r="U24" s="436"/>
    </row>
    <row r="25" spans="2:21" x14ac:dyDescent="0.2">
      <c r="B25" s="74"/>
      <c r="C25" s="528" t="s">
        <v>441</v>
      </c>
      <c r="D25" s="528">
        <f>XpropuRef</f>
        <v>1250</v>
      </c>
      <c r="E25" s="529" t="s">
        <v>444</v>
      </c>
      <c r="F25" s="530">
        <f>p_ail</f>
        <v>190</v>
      </c>
      <c r="G25" s="528">
        <f>p_can</f>
        <v>40</v>
      </c>
      <c r="I25" s="531" t="s">
        <v>450</v>
      </c>
      <c r="J25" s="530">
        <f>D2j</f>
        <v>64</v>
      </c>
      <c r="K25" s="528">
        <f>D2r</f>
        <v>45</v>
      </c>
      <c r="N25" s="75"/>
      <c r="O25" s="273"/>
      <c r="P25" s="436"/>
      <c r="Q25" s="48"/>
      <c r="R25" s="48"/>
      <c r="S25" s="48"/>
      <c r="T25" s="226"/>
      <c r="U25" s="436"/>
    </row>
    <row r="26" spans="2:21" x14ac:dyDescent="0.2">
      <c r="B26" s="74"/>
      <c r="C26" s="528" t="s">
        <v>438</v>
      </c>
      <c r="D26" s="528">
        <f>D_ref</f>
        <v>84</v>
      </c>
      <c r="E26" s="529" t="s">
        <v>445</v>
      </c>
      <c r="F26" s="530">
        <f>E_ail</f>
        <v>120</v>
      </c>
      <c r="G26" s="528">
        <f>E_can</f>
        <v>50</v>
      </c>
      <c r="I26" s="531" t="s">
        <v>451</v>
      </c>
      <c r="J26" s="530">
        <f>X_j</f>
        <v>500</v>
      </c>
      <c r="K26" s="528">
        <f>X_r</f>
        <v>1200</v>
      </c>
      <c r="N26" s="75"/>
      <c r="O26" s="273"/>
      <c r="P26" s="436"/>
      <c r="Q26" s="48"/>
      <c r="R26" s="48"/>
      <c r="S26" s="48"/>
      <c r="T26" s="226"/>
      <c r="U26" s="436"/>
    </row>
    <row r="27" spans="2:21" x14ac:dyDescent="0.2">
      <c r="B27" s="74"/>
      <c r="C27" s="528" t="s">
        <v>439</v>
      </c>
      <c r="D27" s="528">
        <f>Long_ogive</f>
        <v>275</v>
      </c>
      <c r="E27" s="529" t="s">
        <v>446</v>
      </c>
      <c r="F27" s="530">
        <f>X_ail</f>
        <v>1300</v>
      </c>
      <c r="G27" s="528">
        <f>X_can</f>
        <v>700</v>
      </c>
      <c r="H27" s="520"/>
      <c r="I27" s="3"/>
      <c r="J27" s="2"/>
      <c r="N27" s="75"/>
      <c r="O27" s="273"/>
      <c r="P27" s="436"/>
      <c r="Q27" s="48"/>
      <c r="R27" s="48"/>
      <c r="S27" s="48"/>
      <c r="T27" s="226"/>
      <c r="U27" s="436"/>
    </row>
    <row r="28" spans="2:21" ht="13.5" thickBot="1" x14ac:dyDescent="0.25">
      <c r="B28" s="74"/>
      <c r="E28" s="95"/>
      <c r="N28" s="75"/>
      <c r="O28" s="2"/>
      <c r="P28" s="6"/>
      <c r="Q28" s="2"/>
      <c r="R28" s="48"/>
      <c r="S28" s="48"/>
      <c r="T28" s="48"/>
      <c r="U28" s="436"/>
    </row>
    <row r="29" spans="2:21" ht="13.5" thickBot="1" x14ac:dyDescent="0.25">
      <c r="B29" s="74"/>
      <c r="C29" s="663" t="s">
        <v>142</v>
      </c>
      <c r="D29" s="663" t="s">
        <v>134</v>
      </c>
      <c r="E29" s="663" t="s">
        <v>135</v>
      </c>
      <c r="F29" s="663"/>
      <c r="G29" s="663"/>
      <c r="H29" s="662" t="s">
        <v>136</v>
      </c>
      <c r="I29" s="662"/>
      <c r="J29" s="662"/>
      <c r="K29" s="662"/>
      <c r="L29" s="663" t="s">
        <v>137</v>
      </c>
      <c r="M29" s="663" t="s">
        <v>138</v>
      </c>
      <c r="N29" s="75"/>
      <c r="O29" s="273" t="s">
        <v>430</v>
      </c>
      <c r="P29" s="441">
        <f>n_ail</f>
        <v>70</v>
      </c>
      <c r="Q29" s="2"/>
      <c r="R29" s="48"/>
      <c r="S29" s="48"/>
      <c r="T29" s="48"/>
      <c r="U29" s="12" t="s">
        <v>434</v>
      </c>
    </row>
    <row r="30" spans="2:21" ht="13.5" thickBot="1" x14ac:dyDescent="0.25">
      <c r="B30" s="74"/>
      <c r="C30" s="663"/>
      <c r="D30" s="663"/>
      <c r="E30" s="663"/>
      <c r="F30" s="663"/>
      <c r="G30" s="663"/>
      <c r="H30" s="662" t="s">
        <v>139</v>
      </c>
      <c r="I30" s="662"/>
      <c r="J30" s="69" t="s">
        <v>140</v>
      </c>
      <c r="K30" s="70" t="s">
        <v>141</v>
      </c>
      <c r="L30" s="663"/>
      <c r="M30" s="663"/>
      <c r="N30" s="75"/>
      <c r="P30" s="12"/>
      <c r="R30" s="48"/>
      <c r="S30" s="48"/>
      <c r="T30" s="226" t="s">
        <v>432</v>
      </c>
      <c r="U30" s="525">
        <f>[0]!p_can</f>
        <v>40</v>
      </c>
    </row>
    <row r="31" spans="2:21" ht="13.5" thickBot="1" x14ac:dyDescent="0.25">
      <c r="B31" s="74"/>
      <c r="C31" s="83">
        <f>Beta_rampe</f>
        <v>82.23</v>
      </c>
      <c r="D31" s="84">
        <f ca="1">Portee_balistique</f>
        <v>1416.7607064577739</v>
      </c>
      <c r="E31" s="667">
        <f ca="1">T_para+Dt_para</f>
        <v>220.5842297917815</v>
      </c>
      <c r="F31" s="667"/>
      <c r="G31" s="667"/>
      <c r="H31" s="668">
        <f ca="1">Altitude_culmi</f>
        <v>3822.8420547601486</v>
      </c>
      <c r="I31" s="668"/>
      <c r="J31" s="85">
        <f ca="1">Temps_culmi</f>
        <v>27.50000000000005</v>
      </c>
      <c r="K31" s="86">
        <f ca="1">Vit_culmi</f>
        <v>25.323219102659095</v>
      </c>
      <c r="L31" s="84">
        <f ca="1">Acc_max</f>
        <v>119.03405150971797</v>
      </c>
      <c r="M31" s="86">
        <f ca="1">Vit_max</f>
        <v>349.22883218131165</v>
      </c>
      <c r="N31" s="75"/>
      <c r="O31" s="273" t="s">
        <v>436</v>
      </c>
      <c r="P31" s="441">
        <f>ep_ail</f>
        <v>3</v>
      </c>
      <c r="Q31" s="2"/>
      <c r="R31" s="48"/>
      <c r="S31" s="48"/>
      <c r="T31" s="226" t="s">
        <v>344</v>
      </c>
      <c r="U31" s="525">
        <f>[0]!m_can</f>
        <v>70</v>
      </c>
    </row>
    <row r="32" spans="2:21" ht="13.5" thickBot="1" x14ac:dyDescent="0.25">
      <c r="B32" s="74"/>
      <c r="C32" s="522"/>
      <c r="D32" s="242"/>
      <c r="E32" s="247"/>
      <c r="F32" s="247"/>
      <c r="G32" s="247"/>
      <c r="H32" s="283"/>
      <c r="I32" s="283"/>
      <c r="J32" s="247"/>
      <c r="K32" s="248"/>
      <c r="L32" s="242"/>
      <c r="M32" s="248"/>
      <c r="N32" s="75"/>
      <c r="O32" s="273" t="s">
        <v>435</v>
      </c>
      <c r="P32" s="524">
        <f>Q_ail</f>
        <v>3</v>
      </c>
      <c r="Q32" s="2"/>
      <c r="R32" s="48"/>
      <c r="S32" s="48"/>
      <c r="T32" s="226" t="s">
        <v>430</v>
      </c>
      <c r="U32" s="525">
        <f>[0]!n_can</f>
        <v>10</v>
      </c>
    </row>
    <row r="33" spans="2:21" ht="13.5" thickBot="1" x14ac:dyDescent="0.25">
      <c r="B33" s="74"/>
      <c r="D33" s="80"/>
      <c r="E33" s="81"/>
      <c r="F33" s="81"/>
      <c r="G33" s="81"/>
      <c r="H33" s="82"/>
      <c r="I33" s="82"/>
      <c r="J33" s="81"/>
      <c r="K33" s="76"/>
      <c r="L33" s="80"/>
      <c r="M33" s="76"/>
      <c r="N33" s="75"/>
      <c r="O33" s="2"/>
      <c r="Q33" s="2"/>
      <c r="R33" s="48"/>
      <c r="S33" s="48"/>
      <c r="T33" s="226" t="s">
        <v>431</v>
      </c>
      <c r="U33" s="525">
        <f>[0]!E_can</f>
        <v>50</v>
      </c>
    </row>
    <row r="34" spans="2:21" ht="13.5" thickBot="1" x14ac:dyDescent="0.25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2"/>
      <c r="P34" s="273" t="s">
        <v>431</v>
      </c>
      <c r="Q34" s="441">
        <f>E_ail</f>
        <v>120</v>
      </c>
      <c r="T34" s="226" t="s">
        <v>436</v>
      </c>
      <c r="U34" s="525">
        <f>[0]!ep_can</f>
        <v>2</v>
      </c>
    </row>
    <row r="35" spans="2:21" x14ac:dyDescent="0.2">
      <c r="O35" s="2"/>
      <c r="P35" s="6"/>
      <c r="Q35" s="6"/>
      <c r="T35" s="226" t="s">
        <v>435</v>
      </c>
      <c r="U35" s="525">
        <f>[0]!Q_can</f>
        <v>4</v>
      </c>
    </row>
    <row r="36" spans="2:21" ht="13.5" thickBot="1" x14ac:dyDescent="0.25">
      <c r="T36" s="2"/>
      <c r="U36" s="12"/>
    </row>
    <row r="37" spans="2:21" x14ac:dyDescent="0.2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T37" s="2"/>
    </row>
    <row r="38" spans="2:21" x14ac:dyDescent="0.2">
      <c r="B38" s="74"/>
      <c r="D38" s="2" t="s">
        <v>196</v>
      </c>
      <c r="N38" s="75"/>
    </row>
    <row r="39" spans="2:21" x14ac:dyDescent="0.2">
      <c r="B39" s="74"/>
      <c r="D39" s="2"/>
      <c r="N39" s="75"/>
    </row>
    <row r="40" spans="2:21" x14ac:dyDescent="0.2">
      <c r="B40" s="74"/>
      <c r="D40" s="275" t="s">
        <v>150</v>
      </c>
      <c r="E40" s="246">
        <f>D_ref</f>
        <v>84</v>
      </c>
      <c r="F40" s="265"/>
      <c r="G40" s="265"/>
      <c r="H40" s="261" t="s">
        <v>199</v>
      </c>
      <c r="I40" s="261" t="s">
        <v>200</v>
      </c>
      <c r="J40" s="262" t="s">
        <v>201</v>
      </c>
      <c r="N40" s="75"/>
    </row>
    <row r="41" spans="2:21" x14ac:dyDescent="0.2">
      <c r="B41" s="74"/>
      <c r="D41" s="276" t="s">
        <v>148</v>
      </c>
      <c r="E41" s="6">
        <f>Long_ogive</f>
        <v>275</v>
      </c>
      <c r="F41" s="2"/>
      <c r="G41" s="2" t="s">
        <v>202</v>
      </c>
      <c r="H41" s="6">
        <f>MasseSans</f>
        <v>5</v>
      </c>
      <c r="I41" s="6">
        <f ca="1">MasseVide</f>
        <v>5.6520000000000001</v>
      </c>
      <c r="J41" s="244">
        <f ca="1">MassePlein</f>
        <v>6.6850000000000005</v>
      </c>
      <c r="N41" s="75"/>
    </row>
    <row r="42" spans="2:21" x14ac:dyDescent="0.2">
      <c r="B42" s="74"/>
      <c r="D42" s="276" t="s">
        <v>151</v>
      </c>
      <c r="E42" s="6">
        <f>X_ail-m_ail</f>
        <v>970</v>
      </c>
      <c r="F42" s="255"/>
      <c r="G42" s="255" t="s">
        <v>219</v>
      </c>
      <c r="H42" s="263">
        <f>XcgSans</f>
        <v>600</v>
      </c>
      <c r="I42" s="263">
        <f ca="1">XcgVide</f>
        <v>646.37367303609346</v>
      </c>
      <c r="J42" s="245">
        <f ca="1">XcgPlein</f>
        <v>703.84741959611063</v>
      </c>
      <c r="N42" s="75"/>
    </row>
    <row r="43" spans="2:21" x14ac:dyDescent="0.2">
      <c r="B43" s="74"/>
      <c r="D43" s="276" t="str">
        <f>IF(Lang="Français","Emplanture 'm'",IF(Lang="English","Root edge  'm'",""))</f>
        <v>Emplanture 'm'</v>
      </c>
      <c r="E43" s="244">
        <f>m_ail</f>
        <v>330</v>
      </c>
      <c r="N43" s="75"/>
    </row>
    <row r="44" spans="2:21" x14ac:dyDescent="0.2">
      <c r="B44" s="74"/>
      <c r="D44" s="276" t="str">
        <f>IF(Lang="Français","Saumon      'n'",IF(Lang="English","Tip edge    'n'",""))</f>
        <v>Saumon      'n'</v>
      </c>
      <c r="E44" s="244">
        <f>n_ail</f>
        <v>70</v>
      </c>
      <c r="F44" s="246" t="s">
        <v>203</v>
      </c>
      <c r="G44" s="246" t="s">
        <v>208</v>
      </c>
      <c r="H44" s="658" t="e">
        <f ca="1">Vsortie_de_rampe</f>
        <v>#N/A</v>
      </c>
      <c r="I44" s="659"/>
      <c r="N44" s="75"/>
    </row>
    <row r="45" spans="2:21" x14ac:dyDescent="0.2">
      <c r="B45" s="74"/>
      <c r="D45" s="276" t="str">
        <f>IF(Lang="Français","Flèche        'p'",IF(Lang="English","Offset         'p'",""))</f>
        <v>Flèche        'p'</v>
      </c>
      <c r="E45" s="244">
        <f>p_ail</f>
        <v>190</v>
      </c>
      <c r="F45" s="6" t="s">
        <v>204</v>
      </c>
      <c r="G45" s="6" t="s">
        <v>209</v>
      </c>
      <c r="H45" s="660">
        <f>Finesse</f>
        <v>15.476190476190476</v>
      </c>
      <c r="I45" s="661"/>
      <c r="N45" s="75"/>
    </row>
    <row r="46" spans="2:21" x14ac:dyDescent="0.2">
      <c r="B46" s="74"/>
      <c r="D46" s="276" t="str">
        <f>IF(Lang="Français","Envergure   'E'",IF(Lang="English","Span          'E'",""))</f>
        <v>Envergure   'E'</v>
      </c>
      <c r="E46" s="244">
        <f>E_ail</f>
        <v>120</v>
      </c>
      <c r="F46" s="6" t="s">
        <v>205</v>
      </c>
      <c r="G46" s="6" t="s">
        <v>210</v>
      </c>
      <c r="H46" s="660">
        <f>Cn</f>
        <v>15.99127552107595</v>
      </c>
      <c r="I46" s="661"/>
      <c r="N46" s="75"/>
    </row>
    <row r="47" spans="2:21" x14ac:dyDescent="0.2">
      <c r="B47" s="74"/>
      <c r="D47" s="276" t="s">
        <v>145</v>
      </c>
      <c r="E47" s="244">
        <f>ep_ail</f>
        <v>3</v>
      </c>
      <c r="F47" s="6" t="s">
        <v>206</v>
      </c>
      <c r="G47" s="6" t="s">
        <v>211</v>
      </c>
      <c r="H47" s="247">
        <f ca="1">MS_min</f>
        <v>3.3664604190837699</v>
      </c>
      <c r="I47" s="254">
        <f ca="1">MS_max</f>
        <v>4.0506716876554023</v>
      </c>
      <c r="N47" s="75"/>
    </row>
    <row r="48" spans="2:21" x14ac:dyDescent="0.2">
      <c r="B48" s="74"/>
      <c r="D48" s="276" t="s">
        <v>146</v>
      </c>
      <c r="E48" s="244">
        <f>Q_ail</f>
        <v>3</v>
      </c>
      <c r="F48" s="274" t="s">
        <v>207</v>
      </c>
      <c r="G48" s="274" t="s">
        <v>212</v>
      </c>
      <c r="H48" s="256">
        <f ca="1">MS_Cn_min</f>
        <v>53.833996092365375</v>
      </c>
      <c r="I48" s="264">
        <f ca="1">MS_Cn_max</f>
        <v>64.775407002719248</v>
      </c>
      <c r="N48" s="75"/>
    </row>
    <row r="49" spans="2:14" x14ac:dyDescent="0.2">
      <c r="B49" s="74"/>
      <c r="D49" s="276" t="s">
        <v>149</v>
      </c>
      <c r="E49" s="244">
        <f ca="1">XpropuRef-Long_propu</f>
        <v>762</v>
      </c>
      <c r="N49" s="75"/>
    </row>
    <row r="50" spans="2:14" x14ac:dyDescent="0.2">
      <c r="B50" s="74"/>
      <c r="D50" s="276" t="s">
        <v>147</v>
      </c>
      <c r="E50" s="272" t="str">
        <f>Forme_ogive</f>
        <v>Conique (droite)</v>
      </c>
      <c r="F50" s="273" t="s">
        <v>184</v>
      </c>
      <c r="G50" s="275" t="s">
        <v>5</v>
      </c>
      <c r="H50" s="246">
        <f>Cx</f>
        <v>0.5</v>
      </c>
      <c r="I50" s="265"/>
      <c r="J50" s="266"/>
      <c r="N50" s="75"/>
    </row>
    <row r="51" spans="2:14" x14ac:dyDescent="0.2">
      <c r="B51" s="74"/>
      <c r="D51" s="276" t="s">
        <v>143</v>
      </c>
      <c r="E51" s="244">
        <f>Long_tot</f>
        <v>1300</v>
      </c>
      <c r="G51" s="276" t="s">
        <v>213</v>
      </c>
      <c r="H51" s="6">
        <f>Sref</f>
        <v>6.6217694409323952E-3</v>
      </c>
      <c r="J51" s="267"/>
      <c r="N51" s="75"/>
    </row>
    <row r="52" spans="2:14" x14ac:dyDescent="0.2">
      <c r="B52" s="74"/>
      <c r="D52" s="276" t="s">
        <v>197</v>
      </c>
      <c r="E52" s="244">
        <f>MAX(D_ref,D_ail,D_og,(RIGHT(Nb_diam,1)=",")*MAX(D1j,D1r,D2j,D2r))</f>
        <v>84</v>
      </c>
      <c r="G52" s="276" t="s">
        <v>214</v>
      </c>
      <c r="H52" s="6">
        <f>Beta_rampe</f>
        <v>82.23</v>
      </c>
      <c r="I52" s="6">
        <v>80</v>
      </c>
      <c r="J52" s="244">
        <v>90</v>
      </c>
      <c r="N52" s="75"/>
    </row>
    <row r="53" spans="2:14" x14ac:dyDescent="0.2">
      <c r="B53" s="74"/>
      <c r="D53" s="277" t="s">
        <v>198</v>
      </c>
      <c r="E53" s="260">
        <f>E_ail*2+D_ail</f>
        <v>324</v>
      </c>
      <c r="G53" s="278" t="s">
        <v>216</v>
      </c>
      <c r="H53" s="247">
        <f ca="1">Temps_culmi</f>
        <v>27.50000000000005</v>
      </c>
      <c r="I53" s="259"/>
      <c r="J53" s="268"/>
      <c r="N53" s="75"/>
    </row>
    <row r="54" spans="2:14" x14ac:dyDescent="0.2">
      <c r="B54" s="74"/>
      <c r="G54" s="278" t="s">
        <v>217</v>
      </c>
      <c r="H54" s="242">
        <f ca="1">Altitude_culmi</f>
        <v>3822.8420547601486</v>
      </c>
      <c r="I54" s="259"/>
      <c r="J54" s="268"/>
      <c r="N54" s="75"/>
    </row>
    <row r="55" spans="2:14" x14ac:dyDescent="0.2">
      <c r="B55" s="74"/>
      <c r="C55" s="275" t="s">
        <v>234</v>
      </c>
      <c r="D55" s="249" t="s">
        <v>61</v>
      </c>
      <c r="E55" s="243">
        <f>Long_tot</f>
        <v>1300</v>
      </c>
      <c r="G55" s="278" t="s">
        <v>218</v>
      </c>
      <c r="H55" s="248">
        <f ca="1">Vit_culmi</f>
        <v>25.323219102659095</v>
      </c>
      <c r="I55" s="259"/>
      <c r="J55" s="268"/>
      <c r="N55" s="75"/>
    </row>
    <row r="56" spans="2:14" x14ac:dyDescent="0.2">
      <c r="B56" s="74"/>
      <c r="C56" s="276"/>
      <c r="D56" s="2" t="s">
        <v>220</v>
      </c>
      <c r="E56" s="244">
        <f>MAX(D_ref,D_ail,D_og,(RIGHT(Nb_diam,1)=",")*MAX(D1j,D1r,D2j,D2r))</f>
        <v>84</v>
      </c>
      <c r="G56" s="278" t="s">
        <v>134</v>
      </c>
      <c r="H56" s="242">
        <f ca="1">Portee_balistique</f>
        <v>1416.7607064577739</v>
      </c>
      <c r="I56" s="259"/>
      <c r="J56" s="268"/>
      <c r="N56" s="75"/>
    </row>
    <row r="57" spans="2:14" x14ac:dyDescent="0.2">
      <c r="B57" s="74"/>
      <c r="C57" s="276"/>
      <c r="D57" s="2" t="s">
        <v>221</v>
      </c>
      <c r="E57" s="244">
        <f>E_ail*2+D_ail</f>
        <v>324</v>
      </c>
      <c r="G57" s="278" t="s">
        <v>215</v>
      </c>
      <c r="H57" s="242">
        <f ca="1">T_balistique</f>
        <v>60.900000000000524</v>
      </c>
      <c r="I57" s="259"/>
      <c r="J57" s="268"/>
      <c r="N57" s="75"/>
    </row>
    <row r="58" spans="2:14" x14ac:dyDescent="0.2">
      <c r="B58" s="74"/>
      <c r="C58" s="276"/>
      <c r="D58" s="2" t="s">
        <v>222</v>
      </c>
      <c r="E58" s="244">
        <f ca="1">MassePlein</f>
        <v>6.6850000000000005</v>
      </c>
      <c r="G58" s="278" t="s">
        <v>138</v>
      </c>
      <c r="H58" s="248">
        <f ca="1">Vit_max</f>
        <v>349.22883218131165</v>
      </c>
      <c r="I58" s="259"/>
      <c r="J58" s="268"/>
      <c r="N58" s="75"/>
    </row>
    <row r="59" spans="2:14" x14ac:dyDescent="0.2">
      <c r="B59" s="74"/>
      <c r="C59" s="277" t="s">
        <v>235</v>
      </c>
      <c r="D59" s="255" t="s">
        <v>146</v>
      </c>
      <c r="E59" s="260">
        <f>Q_ail</f>
        <v>3</v>
      </c>
      <c r="G59" s="278" t="s">
        <v>137</v>
      </c>
      <c r="H59" s="242">
        <f ca="1">Acc_max</f>
        <v>119.03405150971797</v>
      </c>
      <c r="I59" s="259"/>
      <c r="J59" s="268"/>
      <c r="N59" s="75"/>
    </row>
    <row r="60" spans="2:14" x14ac:dyDescent="0.2">
      <c r="B60" s="74"/>
      <c r="C60" s="12"/>
      <c r="G60" s="269" t="s">
        <v>223</v>
      </c>
      <c r="H60" s="270"/>
      <c r="I60" s="270"/>
      <c r="J60" s="271"/>
      <c r="N60" s="75"/>
    </row>
    <row r="61" spans="2:14" x14ac:dyDescent="0.2">
      <c r="B61" s="74"/>
      <c r="C61" s="275"/>
      <c r="D61" s="249"/>
      <c r="E61" s="246" t="s">
        <v>227</v>
      </c>
      <c r="F61" s="243" t="s">
        <v>228</v>
      </c>
      <c r="G61" s="2"/>
      <c r="H61" s="2"/>
      <c r="I61" s="2"/>
      <c r="J61" s="2"/>
      <c r="K61" s="2"/>
      <c r="N61" s="75"/>
    </row>
    <row r="62" spans="2:14" x14ac:dyDescent="0.2">
      <c r="B62" s="74"/>
      <c r="C62" s="276" t="s">
        <v>236</v>
      </c>
      <c r="D62" s="2" t="s">
        <v>226</v>
      </c>
      <c r="E62" s="242">
        <f ca="1">2*Acc_max*MassePlein</f>
        <v>1591.4852686849295</v>
      </c>
      <c r="F62" s="280">
        <f ca="1">E62/9.81</f>
        <v>162.2309142390346</v>
      </c>
      <c r="H62" s="2"/>
      <c r="I62" s="2"/>
      <c r="J62" s="2"/>
      <c r="K62" s="2"/>
      <c r="N62" s="75"/>
    </row>
    <row r="63" spans="2:14" x14ac:dyDescent="0.2">
      <c r="B63" s="74"/>
      <c r="C63" s="276"/>
      <c r="D63" s="2" t="s">
        <v>224</v>
      </c>
      <c r="E63" s="242">
        <f ca="1">2*Acc_max*Masse_ail</f>
        <v>34.281806834798779</v>
      </c>
      <c r="F63" s="248">
        <f ca="1">E63/9.81</f>
        <v>3.4945776590008948</v>
      </c>
      <c r="G63" s="246" t="s">
        <v>230</v>
      </c>
      <c r="H63" s="288">
        <f>S_ail*(ep_ail/1000)*2000</f>
        <v>0.14400000000000002</v>
      </c>
      <c r="I63" s="2"/>
      <c r="J63" s="2"/>
      <c r="K63" s="2"/>
      <c r="N63" s="75"/>
    </row>
    <row r="64" spans="2:14" x14ac:dyDescent="0.2">
      <c r="B64" s="74"/>
      <c r="C64" s="277"/>
      <c r="D64" s="255" t="s">
        <v>225</v>
      </c>
      <c r="E64" s="263">
        <f ca="1">0.104*S_ail*Vit_max^2</f>
        <v>304.41409995789991</v>
      </c>
      <c r="F64" s="281">
        <f ca="1">E64/9.81</f>
        <v>31.030998976340459</v>
      </c>
      <c r="G64" s="274" t="s">
        <v>229</v>
      </c>
      <c r="H64" s="289">
        <f>(E_ail*(m_ail+n_ail)/2)/10^6</f>
        <v>2.4E-2</v>
      </c>
      <c r="I64" s="2"/>
      <c r="J64" s="2"/>
      <c r="K64" s="2"/>
      <c r="N64" s="75"/>
    </row>
    <row r="65" spans="2:14" x14ac:dyDescent="0.2">
      <c r="B65" s="74"/>
      <c r="C65" s="282" t="s">
        <v>243</v>
      </c>
      <c r="D65" s="285" t="s">
        <v>241</v>
      </c>
      <c r="E65" s="286">
        <f ca="1">2*Acc_max*H65</f>
        <v>795.74263434246473</v>
      </c>
      <c r="F65" s="286">
        <f ca="1">E65/9.81</f>
        <v>81.115457119517302</v>
      </c>
      <c r="G65" s="287" t="s">
        <v>242</v>
      </c>
      <c r="H65" s="279">
        <f ca="1">E58/2</f>
        <v>3.3425000000000002</v>
      </c>
      <c r="I65" s="2"/>
      <c r="J65" s="2"/>
      <c r="K65" s="2"/>
      <c r="N65" s="75"/>
    </row>
    <row r="66" spans="2:14" x14ac:dyDescent="0.2">
      <c r="B66" s="74"/>
      <c r="C66" s="6"/>
      <c r="D66" s="2"/>
      <c r="E66" s="2"/>
      <c r="F66" s="2"/>
      <c r="G66" s="2"/>
      <c r="H66" s="2"/>
      <c r="I66" s="2"/>
      <c r="J66" s="2"/>
      <c r="K66" s="2"/>
      <c r="N66" s="75"/>
    </row>
    <row r="67" spans="2:14" x14ac:dyDescent="0.2">
      <c r="B67" s="74"/>
      <c r="F67" s="275" t="s">
        <v>233</v>
      </c>
      <c r="G67" s="249" t="s">
        <v>231</v>
      </c>
      <c r="H67" s="250">
        <f>T_para</f>
        <v>25.2</v>
      </c>
      <c r="I67" s="251">
        <f ca="1">Temps_culmi</f>
        <v>27.50000000000005</v>
      </c>
      <c r="J67" s="2"/>
      <c r="K67" s="2"/>
      <c r="N67" s="75"/>
    </row>
    <row r="68" spans="2:14" x14ac:dyDescent="0.2">
      <c r="B68" s="74"/>
      <c r="C68" s="6"/>
      <c r="D68" s="2"/>
      <c r="E68" s="2"/>
      <c r="F68" s="275" t="s">
        <v>232</v>
      </c>
      <c r="G68" s="249" t="s">
        <v>130</v>
      </c>
      <c r="H68" s="250">
        <f ca="1">V_para</f>
        <v>19.421238111817651</v>
      </c>
      <c r="I68" s="251">
        <f>V_satellite</f>
        <v>12.655562623057198</v>
      </c>
      <c r="J68" s="2"/>
      <c r="K68" s="2"/>
      <c r="N68" s="75"/>
    </row>
    <row r="69" spans="2:14" x14ac:dyDescent="0.2">
      <c r="B69" s="74"/>
      <c r="C69" s="6"/>
      <c r="D69" s="2"/>
      <c r="E69" s="2"/>
      <c r="F69" s="276"/>
      <c r="G69" s="2" t="s">
        <v>238</v>
      </c>
      <c r="H69" s="247">
        <f>S_para</f>
        <v>0.24</v>
      </c>
      <c r="I69" s="253">
        <f>S_satellite</f>
        <v>0.1</v>
      </c>
      <c r="J69" s="2"/>
      <c r="K69" s="2"/>
      <c r="N69" s="75"/>
    </row>
    <row r="70" spans="2:14" x14ac:dyDescent="0.2">
      <c r="B70" s="74"/>
      <c r="C70" s="226"/>
      <c r="D70" s="2"/>
      <c r="F70" s="276"/>
      <c r="G70" s="2" t="s">
        <v>237</v>
      </c>
      <c r="H70" s="247">
        <f ca="1">V_ouverture</f>
        <v>34.98132530098168</v>
      </c>
      <c r="I70" s="253" t="e">
        <f ca="1">V_ouv_sat</f>
        <v>#N/A</v>
      </c>
      <c r="N70" s="75"/>
    </row>
    <row r="71" spans="2:14" x14ac:dyDescent="0.2">
      <c r="B71" s="74"/>
      <c r="C71" s="226"/>
      <c r="F71" s="276"/>
      <c r="G71" s="2" t="s">
        <v>202</v>
      </c>
      <c r="H71" s="247">
        <f ca="1">m_vide</f>
        <v>5.6520000000000001</v>
      </c>
      <c r="I71" s="253">
        <f>m_satellite</f>
        <v>1</v>
      </c>
      <c r="N71" s="75"/>
    </row>
    <row r="72" spans="2:14" x14ac:dyDescent="0.2">
      <c r="B72" s="74"/>
      <c r="C72" s="226"/>
      <c r="F72" s="276"/>
      <c r="G72" s="2" t="s">
        <v>239</v>
      </c>
      <c r="H72" s="283">
        <f ca="1">1/2*Rho_moyen*S_para*V_ouverture^2</f>
        <v>179.88288861252585</v>
      </c>
      <c r="I72" s="284" t="e">
        <f ca="1">1/2*Rho_moyen*S_satellite*V_ouv_sat^2</f>
        <v>#N/A</v>
      </c>
      <c r="N72" s="75"/>
    </row>
    <row r="73" spans="2:14" x14ac:dyDescent="0.2">
      <c r="B73" s="74"/>
      <c r="D73" s="2"/>
      <c r="F73" s="277"/>
      <c r="G73" s="255" t="s">
        <v>240</v>
      </c>
      <c r="H73" s="256">
        <f ca="1">H72/9.81</f>
        <v>18.336685893223837</v>
      </c>
      <c r="I73" s="257" t="e">
        <f ca="1">I72/9.81</f>
        <v>#N/A</v>
      </c>
      <c r="N73" s="75"/>
    </row>
    <row r="74" spans="2:14" ht="13.5" thickBot="1" x14ac:dyDescent="0.25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</row>
    <row r="76" spans="2:14" ht="13.5" thickBot="1" x14ac:dyDescent="0.25"/>
    <row r="77" spans="2:14" x14ac:dyDescent="0.2">
      <c r="B77" s="71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3"/>
    </row>
    <row r="78" spans="2:14" x14ac:dyDescent="0.2">
      <c r="B78" s="74"/>
      <c r="D78" s="2" t="s">
        <v>333</v>
      </c>
      <c r="N78" s="75"/>
    </row>
    <row r="79" spans="2:14" ht="12.75" customHeight="1" x14ac:dyDescent="0.25">
      <c r="B79" s="74"/>
      <c r="E79" s="48"/>
      <c r="F79" s="48"/>
      <c r="G79" s="435" t="s">
        <v>339</v>
      </c>
      <c r="I79" s="448"/>
      <c r="J79" s="48"/>
      <c r="K79" s="48"/>
      <c r="N79" s="75"/>
    </row>
    <row r="80" spans="2:14" x14ac:dyDescent="0.2">
      <c r="B80" s="74"/>
      <c r="C80" s="275" t="s">
        <v>334</v>
      </c>
      <c r="D80" s="243" t="str">
        <f>Nom</f>
        <v>SP02-Beta</v>
      </c>
      <c r="E80" s="48"/>
      <c r="F80" s="48"/>
      <c r="G80" s="48"/>
      <c r="H80" s="48"/>
      <c r="I80" s="48"/>
      <c r="J80" s="48"/>
      <c r="K80" s="48"/>
      <c r="N80" s="75"/>
    </row>
    <row r="81" spans="2:14" ht="13.5" thickBot="1" x14ac:dyDescent="0.25">
      <c r="B81" s="74"/>
      <c r="C81" s="276" t="s">
        <v>4</v>
      </c>
      <c r="D81" s="244" t="str">
        <f>Club</f>
        <v>l'Aeroipsa</v>
      </c>
      <c r="E81" s="48"/>
      <c r="F81" s="48"/>
      <c r="G81" s="48"/>
      <c r="H81" s="48"/>
      <c r="I81" s="48"/>
      <c r="J81" s="48"/>
      <c r="K81" s="48"/>
      <c r="N81" s="75"/>
    </row>
    <row r="82" spans="2:14" ht="13.5" thickBot="1" x14ac:dyDescent="0.25">
      <c r="B82" s="74"/>
      <c r="C82" s="432" t="s">
        <v>335</v>
      </c>
      <c r="D82" s="244" t="s">
        <v>14</v>
      </c>
      <c r="E82" s="273" t="s">
        <v>340</v>
      </c>
      <c r="F82" s="441">
        <f>Long_ogive</f>
        <v>275</v>
      </c>
      <c r="G82" s="48"/>
      <c r="H82" s="48"/>
      <c r="I82" s="48"/>
      <c r="J82" s="48"/>
      <c r="K82" s="48"/>
      <c r="N82" s="75"/>
    </row>
    <row r="83" spans="2:14" x14ac:dyDescent="0.2">
      <c r="B83" s="74"/>
      <c r="C83" s="277" t="s">
        <v>336</v>
      </c>
      <c r="D83" s="433">
        <f ca="1">TODAY()</f>
        <v>45781</v>
      </c>
      <c r="E83" s="48"/>
      <c r="F83" s="436"/>
      <c r="G83" s="48"/>
      <c r="H83" s="48"/>
      <c r="I83" s="48"/>
      <c r="J83" s="48"/>
      <c r="K83" s="48"/>
      <c r="N83" s="75"/>
    </row>
    <row r="84" spans="2:14" ht="13.5" thickBot="1" x14ac:dyDescent="0.25">
      <c r="B84" s="74"/>
      <c r="E84" s="48"/>
      <c r="F84" s="436"/>
      <c r="G84" s="48"/>
      <c r="H84" s="48"/>
      <c r="I84" s="48"/>
      <c r="J84" s="440" t="str">
        <f>IF(RIGHT(Nb_diam,1)=",", "", X_j)</f>
        <v/>
      </c>
      <c r="K84" s="48"/>
      <c r="N84" s="75"/>
    </row>
    <row r="85" spans="2:14" ht="13.5" thickBot="1" x14ac:dyDescent="0.25">
      <c r="B85" s="74"/>
      <c r="C85" s="275" t="s">
        <v>337</v>
      </c>
      <c r="D85" s="243" t="str">
        <f>Propu</f>
        <v>Barasinga (Pro54-5G C)</v>
      </c>
      <c r="E85" s="273" t="s">
        <v>341</v>
      </c>
      <c r="F85" s="441">
        <f>D_og</f>
        <v>84</v>
      </c>
      <c r="G85" s="48"/>
      <c r="H85" s="48"/>
      <c r="I85" s="48"/>
      <c r="J85" s="436"/>
      <c r="K85" s="48"/>
      <c r="N85" s="75"/>
    </row>
    <row r="86" spans="2:14" x14ac:dyDescent="0.2">
      <c r="B86" s="74"/>
      <c r="C86" s="277" t="s">
        <v>338</v>
      </c>
      <c r="D86" s="260" t="s">
        <v>14</v>
      </c>
      <c r="E86" s="48"/>
      <c r="F86" s="436"/>
      <c r="G86" s="48"/>
      <c r="H86" s="48"/>
      <c r="I86" s="48"/>
      <c r="J86" s="440" t="str">
        <f>IF(RIGHT(Nb_diam,1)=",", "", X_r)</f>
        <v/>
      </c>
      <c r="K86" s="48"/>
      <c r="N86" s="75"/>
    </row>
    <row r="87" spans="2:14" x14ac:dyDescent="0.2">
      <c r="B87" s="74"/>
      <c r="E87" s="48"/>
      <c r="F87" s="436"/>
      <c r="G87" s="48"/>
      <c r="H87" s="48"/>
      <c r="I87" s="48"/>
      <c r="J87" s="436"/>
      <c r="K87" s="48"/>
      <c r="N87" s="75"/>
    </row>
    <row r="88" spans="2:14" x14ac:dyDescent="0.2">
      <c r="B88" s="74"/>
      <c r="E88" s="48"/>
      <c r="F88" s="436"/>
      <c r="G88" s="48"/>
      <c r="H88" s="48"/>
      <c r="I88" s="48"/>
      <c r="J88" s="440" t="str">
        <f>IF(RIGHT(Nb_diam,1)=",", "", l_j)</f>
        <v/>
      </c>
      <c r="K88" s="48"/>
      <c r="N88" s="75"/>
    </row>
    <row r="89" spans="2:14" ht="13.5" thickBot="1" x14ac:dyDescent="0.25">
      <c r="B89" s="74"/>
      <c r="E89" s="48"/>
      <c r="F89" s="436"/>
      <c r="G89" s="48"/>
      <c r="H89" s="48"/>
      <c r="I89" s="48"/>
      <c r="J89" s="436"/>
      <c r="K89" s="48"/>
      <c r="N89" s="75"/>
    </row>
    <row r="90" spans="2:14" ht="13.5" thickBot="1" x14ac:dyDescent="0.25">
      <c r="B90" s="74"/>
      <c r="E90" s="434" t="s">
        <v>342</v>
      </c>
      <c r="F90" s="440" t="str">
        <f>IF(RIGHT(Nb_diam,1)=",", "", D2j)</f>
        <v/>
      </c>
      <c r="G90" s="48"/>
      <c r="H90" s="48"/>
      <c r="I90" s="48"/>
      <c r="J90" s="441">
        <f>X_ail-m_ail</f>
        <v>970</v>
      </c>
      <c r="K90" s="2"/>
      <c r="N90" s="75"/>
    </row>
    <row r="91" spans="2:14" x14ac:dyDescent="0.2">
      <c r="B91" s="74"/>
      <c r="E91" s="48"/>
      <c r="F91" s="436"/>
      <c r="G91" s="48"/>
      <c r="H91" s="48"/>
      <c r="I91" s="48"/>
      <c r="J91" s="436"/>
      <c r="K91" s="48"/>
      <c r="N91" s="75"/>
    </row>
    <row r="92" spans="2:14" x14ac:dyDescent="0.2">
      <c r="B92" s="74"/>
      <c r="E92" s="48"/>
      <c r="F92" s="436"/>
      <c r="G92" s="48"/>
      <c r="H92" s="48"/>
      <c r="I92" s="48"/>
      <c r="J92" s="440" t="str">
        <f>IF(RIGHT(Nb_diam,1)=",", "", l_r)</f>
        <v/>
      </c>
      <c r="K92" s="48"/>
      <c r="N92" s="75"/>
    </row>
    <row r="93" spans="2:14" x14ac:dyDescent="0.2">
      <c r="B93" s="74"/>
      <c r="E93" s="48"/>
      <c r="F93" s="436"/>
      <c r="G93" s="48"/>
      <c r="H93" s="48"/>
      <c r="I93" s="48"/>
      <c r="J93" s="436"/>
      <c r="K93" s="48"/>
      <c r="N93" s="75"/>
    </row>
    <row r="94" spans="2:14" x14ac:dyDescent="0.2">
      <c r="B94" s="74"/>
      <c r="E94" s="434" t="s">
        <v>343</v>
      </c>
      <c r="F94" s="440" t="str">
        <f>IF(RIGHT(Nb_diam,1)=",", "", D2r)</f>
        <v/>
      </c>
      <c r="G94" s="48"/>
      <c r="H94" s="48"/>
      <c r="I94" s="48"/>
      <c r="J94" s="436"/>
      <c r="K94" s="48"/>
      <c r="N94" s="75"/>
    </row>
    <row r="95" spans="2:14" x14ac:dyDescent="0.2">
      <c r="B95" s="74"/>
      <c r="E95" s="48"/>
      <c r="F95" s="436"/>
      <c r="G95" s="48"/>
      <c r="H95" s="48"/>
      <c r="I95" s="48"/>
      <c r="J95" s="436"/>
      <c r="K95" s="48"/>
      <c r="N95" s="75"/>
    </row>
    <row r="96" spans="2:14" ht="13.5" thickBot="1" x14ac:dyDescent="0.25">
      <c r="B96" s="74"/>
      <c r="E96" s="48"/>
      <c r="F96" s="436"/>
      <c r="G96" s="48"/>
      <c r="H96" s="48"/>
      <c r="I96" s="48"/>
      <c r="J96" s="436"/>
      <c r="K96" s="48"/>
      <c r="N96" s="75"/>
    </row>
    <row r="97" spans="2:14" ht="13.5" thickBot="1" x14ac:dyDescent="0.25">
      <c r="B97" s="74"/>
      <c r="E97" s="273" t="s">
        <v>344</v>
      </c>
      <c r="F97" s="441">
        <f>m_ail</f>
        <v>330</v>
      </c>
      <c r="G97" s="48"/>
      <c r="H97" s="48"/>
      <c r="I97" s="48"/>
      <c r="J97" s="441">
        <f>p_ail</f>
        <v>190</v>
      </c>
      <c r="K97" s="2"/>
      <c r="N97" s="75"/>
    </row>
    <row r="98" spans="2:14" x14ac:dyDescent="0.2">
      <c r="B98" s="74"/>
      <c r="E98" s="48"/>
      <c r="F98" s="48"/>
      <c r="G98" s="48"/>
      <c r="H98" s="48"/>
      <c r="I98" s="48"/>
      <c r="J98" s="436"/>
      <c r="K98" s="48"/>
      <c r="N98" s="75"/>
    </row>
    <row r="99" spans="2:14" x14ac:dyDescent="0.2">
      <c r="B99" s="74"/>
      <c r="E99" s="48"/>
      <c r="F99" s="48"/>
      <c r="G99" s="48"/>
      <c r="H99" s="48"/>
      <c r="I99" s="48"/>
      <c r="J99" s="436"/>
      <c r="K99" s="48"/>
      <c r="N99" s="75"/>
    </row>
    <row r="100" spans="2:14" ht="13.5" thickBot="1" x14ac:dyDescent="0.25">
      <c r="B100" s="74"/>
      <c r="D100" s="429" t="s">
        <v>346</v>
      </c>
      <c r="E100" s="246">
        <f>Q_ail</f>
        <v>3</v>
      </c>
      <c r="F100" s="430"/>
      <c r="G100" s="48"/>
      <c r="H100" s="48"/>
      <c r="I100" s="48"/>
      <c r="J100" s="436"/>
      <c r="K100" s="48"/>
      <c r="N100" s="75"/>
    </row>
    <row r="101" spans="2:14" ht="13.5" thickBot="1" x14ac:dyDescent="0.25">
      <c r="B101" s="74"/>
      <c r="D101" s="437" t="s">
        <v>350</v>
      </c>
      <c r="E101" s="6">
        <f ca="1">XpropuRef-Long_propu</f>
        <v>762</v>
      </c>
      <c r="F101" s="252"/>
      <c r="G101" s="48"/>
      <c r="H101" s="48"/>
      <c r="I101" s="48"/>
      <c r="J101" s="441">
        <f>n_ail</f>
        <v>70</v>
      </c>
      <c r="K101" s="2"/>
      <c r="N101" s="75"/>
    </row>
    <row r="102" spans="2:14" x14ac:dyDescent="0.2">
      <c r="B102" s="74"/>
      <c r="D102" s="437" t="s">
        <v>347</v>
      </c>
      <c r="E102" s="6">
        <f>IF(LEFT(Forme_ogive,4)="Ogiv",1,0)</f>
        <v>0</v>
      </c>
      <c r="F102" s="252" t="s">
        <v>348</v>
      </c>
      <c r="G102" s="48"/>
      <c r="H102" s="48"/>
      <c r="I102" s="48"/>
      <c r="J102" s="436"/>
      <c r="K102" s="48"/>
      <c r="N102" s="75"/>
    </row>
    <row r="103" spans="2:14" x14ac:dyDescent="0.2">
      <c r="B103" s="74"/>
      <c r="D103" s="437"/>
      <c r="E103" s="6">
        <f>IF(LEFT(Forme_ogive,3)="Con",1,0)</f>
        <v>1</v>
      </c>
      <c r="F103" s="252" t="s">
        <v>160</v>
      </c>
      <c r="G103" s="48"/>
      <c r="H103" s="48"/>
      <c r="I103" s="48"/>
      <c r="J103" s="436"/>
      <c r="K103" s="48"/>
      <c r="N103" s="75"/>
    </row>
    <row r="104" spans="2:14" ht="13.5" thickBot="1" x14ac:dyDescent="0.25">
      <c r="B104" s="74"/>
      <c r="D104" s="431"/>
      <c r="E104" s="274">
        <f>IF(LEFT(Forme_ogive,5)="Parab",1,0)</f>
        <v>0</v>
      </c>
      <c r="F104" s="289" t="s">
        <v>349</v>
      </c>
      <c r="G104" s="48"/>
      <c r="H104" s="48"/>
      <c r="I104" s="48"/>
      <c r="J104" s="12" t="s">
        <v>345</v>
      </c>
      <c r="K104" s="48"/>
      <c r="N104" s="75"/>
    </row>
    <row r="105" spans="2:14" ht="13.5" thickBot="1" x14ac:dyDescent="0.25">
      <c r="B105" s="74"/>
      <c r="D105" s="2"/>
      <c r="E105" s="2"/>
      <c r="F105" s="2"/>
      <c r="G105" s="273"/>
      <c r="H105" s="441">
        <f>E_ail</f>
        <v>120</v>
      </c>
      <c r="I105" s="273"/>
      <c r="J105" s="441">
        <f>ep_ail</f>
        <v>3</v>
      </c>
      <c r="K105" s="48"/>
      <c r="N105" s="75"/>
    </row>
    <row r="106" spans="2:14" x14ac:dyDescent="0.2">
      <c r="B106" s="74"/>
      <c r="D106" s="429"/>
      <c r="E106" s="246" t="s">
        <v>354</v>
      </c>
      <c r="F106" s="243" t="s">
        <v>353</v>
      </c>
      <c r="N106" s="75"/>
    </row>
    <row r="107" spans="2:14" x14ac:dyDescent="0.2">
      <c r="B107" s="74"/>
      <c r="D107" s="437" t="s">
        <v>351</v>
      </c>
      <c r="E107" s="6">
        <f>MasseSans</f>
        <v>5</v>
      </c>
      <c r="F107" s="244">
        <f ca="1">MassePlein</f>
        <v>6.6850000000000005</v>
      </c>
      <c r="N107" s="75"/>
    </row>
    <row r="108" spans="2:14" x14ac:dyDescent="0.2">
      <c r="B108" s="74"/>
      <c r="D108" s="431" t="s">
        <v>352</v>
      </c>
      <c r="E108" s="274">
        <f>XcgSans</f>
        <v>600</v>
      </c>
      <c r="F108" s="260">
        <f ca="1">XcgPlein</f>
        <v>703.84741959611063</v>
      </c>
      <c r="N108" s="75"/>
    </row>
    <row r="109" spans="2:14" x14ac:dyDescent="0.2">
      <c r="B109" s="74"/>
      <c r="N109" s="75"/>
    </row>
    <row r="110" spans="2:14" x14ac:dyDescent="0.2">
      <c r="B110" s="74"/>
      <c r="D110" s="438" t="s">
        <v>355</v>
      </c>
      <c r="E110" s="439">
        <f ca="1">MasseVide</f>
        <v>5.6520000000000001</v>
      </c>
      <c r="G110" s="429" t="s">
        <v>356</v>
      </c>
      <c r="H110" s="265"/>
      <c r="I110" s="265"/>
      <c r="J110" s="266"/>
      <c r="N110" s="75"/>
    </row>
    <row r="111" spans="2:14" x14ac:dyDescent="0.2">
      <c r="B111" s="74"/>
      <c r="G111" s="276" t="s">
        <v>214</v>
      </c>
      <c r="H111" s="6">
        <f>Beta_rampe</f>
        <v>82.23</v>
      </c>
      <c r="I111" s="6">
        <v>80</v>
      </c>
      <c r="J111" s="244">
        <v>90</v>
      </c>
      <c r="N111" s="75"/>
    </row>
    <row r="112" spans="2:14" x14ac:dyDescent="0.2">
      <c r="B112" s="74"/>
      <c r="G112" s="278" t="s">
        <v>216</v>
      </c>
      <c r="H112" s="247">
        <f ca="1">Temps_culmi</f>
        <v>27.50000000000005</v>
      </c>
      <c r="I112" s="259"/>
      <c r="J112" s="268"/>
      <c r="N112" s="75"/>
    </row>
    <row r="113" spans="2:14" ht="12.75" customHeight="1" x14ac:dyDescent="0.25">
      <c r="B113" s="74"/>
      <c r="D113" s="435" t="s">
        <v>357</v>
      </c>
      <c r="E113" s="48"/>
      <c r="G113" s="278" t="s">
        <v>217</v>
      </c>
      <c r="H113" s="242">
        <f ca="1">Altitude_culmi</f>
        <v>3822.8420547601486</v>
      </c>
      <c r="I113" s="259"/>
      <c r="J113" s="268"/>
      <c r="N113" s="75"/>
    </row>
    <row r="114" spans="2:14" ht="12.75" customHeight="1" x14ac:dyDescent="0.25">
      <c r="B114" s="74"/>
      <c r="D114" s="48"/>
      <c r="E114" s="48"/>
      <c r="F114" s="435"/>
      <c r="G114" s="278" t="s">
        <v>218</v>
      </c>
      <c r="H114" s="248">
        <f ca="1">Vit_culmi</f>
        <v>25.323219102659095</v>
      </c>
      <c r="I114" s="259"/>
      <c r="J114" s="268"/>
      <c r="N114" s="75"/>
    </row>
    <row r="115" spans="2:14" x14ac:dyDescent="0.2">
      <c r="B115" s="74"/>
      <c r="C115" s="429" t="s">
        <v>358</v>
      </c>
      <c r="D115" s="249"/>
      <c r="E115" s="446">
        <v>0.1</v>
      </c>
      <c r="G115" s="278" t="s">
        <v>134</v>
      </c>
      <c r="H115" s="242">
        <f ca="1">Portee_balistique</f>
        <v>1416.7607064577739</v>
      </c>
      <c r="I115" s="259"/>
      <c r="J115" s="268"/>
      <c r="N115" s="75"/>
    </row>
    <row r="116" spans="2:14" ht="12.75" customHeight="1" x14ac:dyDescent="0.2">
      <c r="B116" s="74"/>
      <c r="C116" s="431" t="s">
        <v>359</v>
      </c>
      <c r="D116" s="255"/>
      <c r="E116" s="447">
        <f>E_ail*(m_ail+n_ail)/2</f>
        <v>24000</v>
      </c>
      <c r="G116" s="278" t="s">
        <v>138</v>
      </c>
      <c r="H116" s="248">
        <f ca="1">Vit_max</f>
        <v>349.22883218131165</v>
      </c>
      <c r="I116" s="259"/>
      <c r="J116" s="268"/>
      <c r="N116" s="75"/>
    </row>
    <row r="117" spans="2:14" ht="12.75" customHeight="1" x14ac:dyDescent="0.2">
      <c r="B117" s="74"/>
      <c r="D117" s="48"/>
      <c r="E117" s="48"/>
      <c r="F117" s="48"/>
      <c r="G117" s="278" t="s">
        <v>137</v>
      </c>
      <c r="H117" s="242">
        <f ca="1">Acc_max</f>
        <v>119.03405150971797</v>
      </c>
      <c r="I117" s="259"/>
      <c r="J117" s="268"/>
      <c r="N117" s="75"/>
    </row>
    <row r="118" spans="2:14" x14ac:dyDescent="0.2">
      <c r="B118" s="74"/>
      <c r="C118" s="429" t="s">
        <v>360</v>
      </c>
      <c r="D118" s="249"/>
      <c r="E118" s="457"/>
      <c r="F118" s="458">
        <f>J90/100</f>
        <v>9.6999999999999993</v>
      </c>
      <c r="G118" s="276" t="s">
        <v>5</v>
      </c>
      <c r="H118" s="6">
        <f>Cx</f>
        <v>0.5</v>
      </c>
      <c r="I118" s="259"/>
      <c r="J118" s="268"/>
      <c r="N118" s="75"/>
    </row>
    <row r="119" spans="2:14" x14ac:dyDescent="0.2">
      <c r="B119" s="74"/>
      <c r="C119" s="437" t="s">
        <v>361</v>
      </c>
      <c r="D119" s="2"/>
      <c r="E119" s="459">
        <f ca="1">2*Acc_max*MasseSans</f>
        <v>1190.3405150971796</v>
      </c>
      <c r="F119" s="460">
        <f ca="1">E119/g</f>
        <v>121.33950204864216</v>
      </c>
      <c r="G119" s="269" t="s">
        <v>223</v>
      </c>
      <c r="H119" s="270"/>
      <c r="I119" s="270"/>
      <c r="J119" s="271"/>
      <c r="N119" s="75"/>
    </row>
    <row r="120" spans="2:14" x14ac:dyDescent="0.2">
      <c r="B120" s="74"/>
      <c r="C120" s="437" t="s">
        <v>362</v>
      </c>
      <c r="D120" s="2"/>
      <c r="E120" s="459">
        <f ca="1">2*Acc_max*E115</f>
        <v>23.806810301943596</v>
      </c>
      <c r="F120" s="460">
        <f ca="1">E120/g</f>
        <v>2.4267900409728433</v>
      </c>
      <c r="N120" s="75"/>
    </row>
    <row r="121" spans="2:14" x14ac:dyDescent="0.2">
      <c r="B121" s="74"/>
      <c r="C121" s="431" t="s">
        <v>363</v>
      </c>
      <c r="D121" s="255"/>
      <c r="E121" s="452">
        <f ca="1">0.104*E116/1000000*Vit_max^2</f>
        <v>304.41409995789991</v>
      </c>
      <c r="F121" s="453">
        <f ca="1">E121/g</f>
        <v>31.030998976340459</v>
      </c>
      <c r="G121" s="48"/>
      <c r="H121" s="48"/>
      <c r="I121" s="48"/>
      <c r="J121" s="48"/>
      <c r="N121" s="75"/>
    </row>
    <row r="122" spans="2:14" ht="12.75" customHeight="1" x14ac:dyDescent="0.2">
      <c r="B122" s="74"/>
      <c r="H122" s="48"/>
      <c r="I122" s="48"/>
      <c r="J122" s="48"/>
      <c r="N122" s="75"/>
    </row>
    <row r="123" spans="2:14" ht="12.75" customHeight="1" x14ac:dyDescent="0.25">
      <c r="B123" s="74"/>
      <c r="G123" s="435"/>
      <c r="H123" s="435"/>
      <c r="I123" s="435"/>
      <c r="J123" s="48"/>
      <c r="N123" s="75"/>
    </row>
    <row r="124" spans="2:14" ht="12.75" customHeight="1" x14ac:dyDescent="0.25">
      <c r="B124" s="74"/>
      <c r="C124" s="48"/>
      <c r="D124" s="435" t="s">
        <v>364</v>
      </c>
      <c r="E124" s="448"/>
      <c r="J124" s="48"/>
      <c r="K124" s="48"/>
      <c r="N124" s="75"/>
    </row>
    <row r="125" spans="2:14" x14ac:dyDescent="0.2">
      <c r="B125" s="74"/>
      <c r="C125" s="445" t="s">
        <v>365</v>
      </c>
      <c r="J125" s="48"/>
      <c r="K125" s="48"/>
      <c r="N125" s="75"/>
    </row>
    <row r="126" spans="2:14" x14ac:dyDescent="0.2">
      <c r="B126" s="74"/>
      <c r="C126" s="429" t="s">
        <v>366</v>
      </c>
      <c r="D126" s="249"/>
      <c r="E126" s="449">
        <v>4</v>
      </c>
      <c r="G126" s="48"/>
      <c r="J126" s="48"/>
      <c r="N126" s="75"/>
    </row>
    <row r="127" spans="2:14" x14ac:dyDescent="0.2">
      <c r="B127" s="74"/>
      <c r="C127" s="431" t="s">
        <v>367</v>
      </c>
      <c r="D127" s="255"/>
      <c r="E127" s="456">
        <f>S_para</f>
        <v>0.24</v>
      </c>
      <c r="G127" s="48"/>
      <c r="J127" s="48"/>
      <c r="N127" s="75"/>
    </row>
    <row r="128" spans="2:14" x14ac:dyDescent="0.2">
      <c r="B128" s="74"/>
      <c r="C128" s="671" t="s">
        <v>368</v>
      </c>
      <c r="D128" s="672"/>
      <c r="E128" s="450">
        <f ca="1">0.5*Rho_moyen*S_para*Vit_culmi^2</f>
        <v>94.266017581027938</v>
      </c>
      <c r="F128" s="451">
        <f ca="1">E128/g</f>
        <v>9.6091761040803192</v>
      </c>
      <c r="H128" s="48"/>
      <c r="I128" s="48"/>
      <c r="J128" s="48"/>
      <c r="K128" s="48"/>
      <c r="N128" s="75"/>
    </row>
    <row r="129" spans="2:14" x14ac:dyDescent="0.2">
      <c r="B129" s="74"/>
      <c r="C129" s="669" t="s">
        <v>369</v>
      </c>
      <c r="D129" s="670"/>
      <c r="E129" s="452">
        <f ca="1">E128/E126*2</f>
        <v>47.133008790513969</v>
      </c>
      <c r="F129" s="453">
        <f ca="1">E129/g</f>
        <v>4.8045880520401596</v>
      </c>
      <c r="H129" s="48"/>
      <c r="I129" s="48"/>
      <c r="J129" s="48"/>
      <c r="K129" s="48"/>
      <c r="N129" s="75"/>
    </row>
    <row r="130" spans="2:14" x14ac:dyDescent="0.2">
      <c r="B130" s="74"/>
      <c r="C130" s="47"/>
      <c r="D130" s="47"/>
      <c r="E130" s="443"/>
      <c r="F130" s="444"/>
      <c r="H130" s="48"/>
      <c r="I130" s="48"/>
      <c r="J130" s="48"/>
      <c r="K130" s="48"/>
      <c r="N130" s="75"/>
    </row>
    <row r="131" spans="2:14" x14ac:dyDescent="0.2">
      <c r="B131" s="74"/>
      <c r="C131" s="445" t="s">
        <v>370</v>
      </c>
      <c r="D131" s="48"/>
      <c r="E131" s="48"/>
      <c r="F131" s="48"/>
      <c r="G131" s="48"/>
      <c r="H131" s="48"/>
      <c r="I131" s="48"/>
      <c r="J131" s="48"/>
      <c r="K131" s="48"/>
      <c r="N131" s="75"/>
    </row>
    <row r="132" spans="2:14" x14ac:dyDescent="0.2">
      <c r="B132" s="74"/>
      <c r="C132" s="671" t="s">
        <v>371</v>
      </c>
      <c r="D132" s="672"/>
      <c r="E132" s="454">
        <v>1</v>
      </c>
      <c r="F132" s="48"/>
      <c r="G132" s="48"/>
      <c r="H132" s="48"/>
      <c r="I132" s="48"/>
      <c r="J132" s="442"/>
      <c r="K132" s="48"/>
      <c r="N132" s="75"/>
    </row>
    <row r="133" spans="2:14" x14ac:dyDescent="0.2">
      <c r="B133" s="74"/>
      <c r="C133" s="669" t="s">
        <v>372</v>
      </c>
      <c r="D133" s="670"/>
      <c r="E133" s="455">
        <f ca="1">2*E132*Acc_max/g</f>
        <v>24.267900409728433</v>
      </c>
      <c r="F133" s="48"/>
      <c r="G133" s="48"/>
      <c r="H133" s="48"/>
      <c r="I133" s="48"/>
      <c r="J133" s="48"/>
      <c r="K133" s="48"/>
      <c r="N133" s="75"/>
    </row>
    <row r="134" spans="2:14" ht="13.5" thickBot="1" x14ac:dyDescent="0.25">
      <c r="B134" s="77"/>
      <c r="C134" s="461"/>
      <c r="D134" s="461"/>
      <c r="E134" s="461"/>
      <c r="F134" s="461"/>
      <c r="G134" s="461"/>
      <c r="H134" s="461"/>
      <c r="I134" s="461"/>
      <c r="J134" s="461"/>
      <c r="K134" s="461"/>
      <c r="L134" s="78"/>
      <c r="M134" s="78"/>
      <c r="N134" s="79"/>
    </row>
  </sheetData>
  <sheetProtection password="C6AC" sheet="1"/>
  <mergeCells count="22">
    <mergeCell ref="C133:D133"/>
    <mergeCell ref="C128:D128"/>
    <mergeCell ref="C129:D129"/>
    <mergeCell ref="C132:D132"/>
    <mergeCell ref="H44:I44"/>
    <mergeCell ref="H45:I45"/>
    <mergeCell ref="H46:I46"/>
    <mergeCell ref="E31:G31"/>
    <mergeCell ref="M29:M30"/>
    <mergeCell ref="H30:I30"/>
    <mergeCell ref="L29:L30"/>
    <mergeCell ref="H31:I31"/>
    <mergeCell ref="H11:I11"/>
    <mergeCell ref="H12:I12"/>
    <mergeCell ref="H13:I13"/>
    <mergeCell ref="H29:K29"/>
    <mergeCell ref="C29:C30"/>
    <mergeCell ref="D29:D30"/>
    <mergeCell ref="H17:I17"/>
    <mergeCell ref="H18:I18"/>
    <mergeCell ref="H19:I19"/>
    <mergeCell ref="E29:G30"/>
  </mergeCells>
  <phoneticPr fontId="8" type="noConversion"/>
  <conditionalFormatting sqref="D18:E18">
    <cfRule type="expression" dxfId="2" priority="2" stopIfTrue="1">
      <formula>IF(Propu="Cariacou",0,1)</formula>
    </cfRule>
  </conditionalFormatting>
  <conditionalFormatting sqref="F18:I19">
    <cfRule type="expression" dxfId="1" priority="1" stopIfTrue="1">
      <formula>IF(Propu="Cariacou",1,0)</formula>
    </cfRule>
  </conditionalFormatting>
  <conditionalFormatting sqref="I16 I68:I73">
    <cfRule type="expression" dxfId="0" priority="6" stopIfTrue="1">
      <formula>Nb_sat="0 satellite"</formula>
    </cfRule>
  </conditionalFormatting>
  <pageMargins left="0.39370078740157483" right="0.39370078740157483" top="0.39370078740157483" bottom="0.39370078740157483" header="0" footer="0"/>
  <pageSetup paperSize="9" scale="61" orientation="portrait" r:id="rId1"/>
  <ignoredErrors>
    <ignoredError sqref="H65 H6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214</vt:i4>
      </vt:variant>
    </vt:vector>
  </HeadingPairs>
  <TitlesOfParts>
    <vt:vector size="222" baseType="lpstr">
      <vt:lpstr>Stabilito</vt:lpstr>
      <vt:lpstr>Trajecto</vt:lpstr>
      <vt:lpstr>Courbes</vt:lpstr>
      <vt:lpstr>Propu</vt:lpstr>
      <vt:lpstr>Calculs</vt:lpstr>
      <vt:lpstr>Abaco</vt:lpstr>
      <vt:lpstr>Info</vt:lpstr>
      <vt:lpstr>Controle</vt:lpstr>
      <vt:lpstr>a_prop</vt:lpstr>
      <vt:lpstr>Acc_max</vt:lpstr>
      <vt:lpstr>acc_x</vt:lpstr>
      <vt:lpstr>acc_xz</vt:lpstr>
      <vt:lpstr>acc_z</vt:lpstr>
      <vt:lpstr>Alt_para</vt:lpstr>
      <vt:lpstr>alt_prop</vt:lpstr>
      <vt:lpstr>Alt_rampe</vt:lpstr>
      <vt:lpstr>Alt_sat</vt:lpstr>
      <vt:lpstr>Altitude_culmi</vt:lpstr>
      <vt:lpstr>b_bal</vt:lpstr>
      <vt:lpstr>b_prop</vt:lpstr>
      <vt:lpstr>Beta</vt:lpstr>
      <vt:lpstr>Beta_rampe</vt:lpstr>
      <vt:lpstr>BetaD</vt:lpstr>
      <vt:lpstr>CdP</vt:lpstr>
      <vt:lpstr>CdP_P</vt:lpstr>
      <vt:lpstr>CdP_t</vt:lpstr>
      <vt:lpstr>Club</vt:lpstr>
      <vt:lpstr>Cn</vt:lpstr>
      <vt:lpstr>Cn0</vt:lpstr>
      <vt:lpstr>Stabilito!Cnai</vt:lpstr>
      <vt:lpstr>Cnai0</vt:lpstr>
      <vt:lpstr>Stabilito!Cnail</vt:lpstr>
      <vt:lpstr>Stabilito!Cnc</vt:lpstr>
      <vt:lpstr>Stabilito!Cni</vt:lpstr>
      <vt:lpstr>Cni0</vt:lpstr>
      <vt:lpstr>Stabilito!Cnj</vt:lpstr>
      <vt:lpstr>Stabilito!Cno</vt:lpstr>
      <vt:lpstr>Stabilito!Cnr</vt:lpstr>
      <vt:lpstr>Combustion</vt:lpstr>
      <vt:lpstr>Stabilito!CritCnmax</vt:lpstr>
      <vt:lpstr>Stabilito!CritCnmin</vt:lpstr>
      <vt:lpstr>Stabilito!CritFinessemax</vt:lpstr>
      <vt:lpstr>Stabilito!CritFinessemin</vt:lpstr>
      <vt:lpstr>Stabilito!CritMsCnmax</vt:lpstr>
      <vt:lpstr>Stabilito!CritMsCnmin</vt:lpstr>
      <vt:lpstr>Stabilito!CritMsmax</vt:lpstr>
      <vt:lpstr>Stabilito!CritMsmin</vt:lpstr>
      <vt:lpstr>Cx</vt:lpstr>
      <vt:lpstr>Cx_para</vt:lpstr>
      <vt:lpstr>Cx_satellite</vt:lpstr>
      <vt:lpstr>D_ail</vt:lpstr>
      <vt:lpstr>Stabilito!D_can</vt:lpstr>
      <vt:lpstr>Stabilito!D_int</vt:lpstr>
      <vt:lpstr>D_og</vt:lpstr>
      <vt:lpstr>D_ref</vt:lpstr>
      <vt:lpstr>D_var</vt:lpstr>
      <vt:lpstr>D1j</vt:lpstr>
      <vt:lpstr>D1r</vt:lpstr>
      <vt:lpstr>D2j</vt:lpstr>
      <vt:lpstr>D2r</vt:lpstr>
      <vt:lpstr>Débit</vt:lpstr>
      <vt:lpstr>Depotage</vt:lpstr>
      <vt:lpstr>Diam_propu</vt:lpstr>
      <vt:lpstr>Dt_para</vt:lpstr>
      <vt:lpstr>Dt_satellite</vt:lpstr>
      <vt:lpstr>Dx_para</vt:lpstr>
      <vt:lpstr>Dx_sat</vt:lpstr>
      <vt:lpstr>E_ail</vt:lpstr>
      <vt:lpstr>E_can</vt:lpstr>
      <vt:lpstr>Stabilito!E_int</vt:lpstr>
      <vt:lpstr>ep_ail</vt:lpstr>
      <vt:lpstr>ep_can</vt:lpstr>
      <vt:lpstr>Stabilito!ep_int</vt:lpstr>
      <vt:lpstr>Event</vt:lpstr>
      <vt:lpstr>Event_para</vt:lpstr>
      <vt:lpstr>Event_sat</vt:lpstr>
      <vt:lpstr>Stabilito!f_ail</vt:lpstr>
      <vt:lpstr>Stabilito!f_can</vt:lpstr>
      <vt:lpstr>Stabilito!f_int</vt:lpstr>
      <vt:lpstr>Finesse</vt:lpstr>
      <vt:lpstr>Forme_ogive</vt:lpstr>
      <vt:lpstr>g</vt:lpstr>
      <vt:lpstr>i_P</vt:lpstr>
      <vt:lpstr>I_total</vt:lpstr>
      <vt:lpstr>ISP</vt:lpstr>
      <vt:lpstr>l_j</vt:lpstr>
      <vt:lpstr>l_r</vt:lpstr>
      <vt:lpstr>L_rampe</vt:lpstr>
      <vt:lpstr>Lang</vt:lpstr>
      <vt:lpstr>Liste_µfu</vt:lpstr>
      <vt:lpstr>Liste_fusex</vt:lpstr>
      <vt:lpstr>Liste_H2O</vt:lpstr>
      <vt:lpstr>Liste_minif</vt:lpstr>
      <vt:lpstr>Liste_minifT</vt:lpstr>
      <vt:lpstr>Liste_propu</vt:lpstr>
      <vt:lpstr>Liste_RC</vt:lpstr>
      <vt:lpstr>Long_ogive</vt:lpstr>
      <vt:lpstr>Long_propu</vt:lpstr>
      <vt:lpstr>Long_tot</vt:lpstr>
      <vt:lpstr>m</vt:lpstr>
      <vt:lpstr>m_ail</vt:lpstr>
      <vt:lpstr>m_bal</vt:lpstr>
      <vt:lpstr>m_can</vt:lpstr>
      <vt:lpstr>Stabilito!m_int</vt:lpstr>
      <vt:lpstr>m_poudre</vt:lpstr>
      <vt:lpstr>m_prop</vt:lpstr>
      <vt:lpstr>m_satellite</vt:lpstr>
      <vt:lpstr>m_tot</vt:lpstr>
      <vt:lpstr>m_var</vt:lpstr>
      <vt:lpstr>m_vide</vt:lpstr>
      <vt:lpstr>Masse_ail</vt:lpstr>
      <vt:lpstr>MassePlein</vt:lpstr>
      <vt:lpstr>MasseSans</vt:lpstr>
      <vt:lpstr>MasseVide</vt:lpstr>
      <vt:lpstr>Menu_Empennage</vt:lpstr>
      <vt:lpstr>Menu_Lang</vt:lpstr>
      <vt:lpstr>Menu_Ogive</vt:lpstr>
      <vt:lpstr>Menu_sat</vt:lpstr>
      <vt:lpstr>Menu_Transitions</vt:lpstr>
      <vt:lpstr>Menu_Type</vt:lpstr>
      <vt:lpstr>Menu_with_motor</vt:lpstr>
      <vt:lpstr>MpropuPlein</vt:lpstr>
      <vt:lpstr>MpropuVide</vt:lpstr>
      <vt:lpstr>MS_Cn_max</vt:lpstr>
      <vt:lpstr>MS_Cn_min</vt:lpstr>
      <vt:lpstr>MS_max</vt:lpstr>
      <vt:lpstr>MS_min</vt:lpstr>
      <vt:lpstr>n_ail</vt:lpstr>
      <vt:lpstr>n_can</vt:lpstr>
      <vt:lpstr>Stabilito!n_int</vt:lpstr>
      <vt:lpstr>Nb_diam</vt:lpstr>
      <vt:lpstr>Nb_sat</vt:lpstr>
      <vt:lpstr>Nom</vt:lpstr>
      <vt:lpstr>p_ail</vt:lpstr>
      <vt:lpstr>p_can</vt:lpstr>
      <vt:lpstr>Stabilito!p_int</vt:lpstr>
      <vt:lpstr>pas</vt:lpstr>
      <vt:lpstr>Poids</vt:lpstr>
      <vt:lpstr>Portee_balistique</vt:lpstr>
      <vt:lpstr>pos_x</vt:lpstr>
      <vt:lpstr>pos_xz</vt:lpstr>
      <vt:lpstr>pos_z</vt:lpstr>
      <vt:lpstr>pos_z_montant</vt:lpstr>
      <vt:lpstr>Poussee</vt:lpstr>
      <vt:lpstr>Propu</vt:lpstr>
      <vt:lpstr>Q_ail</vt:lpstr>
      <vt:lpstr>Q_can</vt:lpstr>
      <vt:lpstr>Stabilito!Q_int</vt:lpstr>
      <vt:lpstr>Q_var</vt:lpstr>
      <vt:lpstr>R_rampe</vt:lpstr>
      <vt:lpstr>Rho</vt:lpstr>
      <vt:lpstr>Rho_moyen</vt:lpstr>
      <vt:lpstr>S_ail</vt:lpstr>
      <vt:lpstr>S_para</vt:lpstr>
      <vt:lpstr>S_para_croix</vt:lpstr>
      <vt:lpstr>S_para_rond</vt:lpstr>
      <vt:lpstr>S_satellite</vt:lpstr>
      <vt:lpstr>Sref</vt:lpstr>
      <vt:lpstr>sS</vt:lpstr>
      <vt:lpstr>t</vt:lpstr>
      <vt:lpstr>T_balistique</vt:lpstr>
      <vt:lpstr>T_ini</vt:lpstr>
      <vt:lpstr>T_para</vt:lpstr>
      <vt:lpstr>T_satellite</vt:lpstr>
      <vt:lpstr>Temps_culmi</vt:lpstr>
      <vt:lpstr>Temps_fin_propu</vt:lpstr>
      <vt:lpstr>Trainee</vt:lpstr>
      <vt:lpstr>tT_fus</vt:lpstr>
      <vt:lpstr>tT_sat</vt:lpstr>
      <vt:lpstr>Type_fusee</vt:lpstr>
      <vt:lpstr>Abaco!Type_masquage</vt:lpstr>
      <vt:lpstr>Stabilito!Type_masquage</vt:lpstr>
      <vt:lpstr>Type_propu</vt:lpstr>
      <vt:lpstr>V_ini</vt:lpstr>
      <vt:lpstr>V_ouv_sat</vt:lpstr>
      <vt:lpstr>V_ouverture</vt:lpstr>
      <vt:lpstr>V_para</vt:lpstr>
      <vt:lpstr>V_prop</vt:lpstr>
      <vt:lpstr>V_satellite</vt:lpstr>
      <vt:lpstr>V_vent</vt:lpstr>
      <vt:lpstr>V_vent_sat</vt:lpstr>
      <vt:lpstr>Stabilito!Version</vt:lpstr>
      <vt:lpstr>Trajecto!Version</vt:lpstr>
      <vt:lpstr>Vit_culmi</vt:lpstr>
      <vt:lpstr>Vit_max</vt:lpstr>
      <vt:lpstr>vit_x</vt:lpstr>
      <vt:lpstr>vit_xz</vt:lpstr>
      <vt:lpstr>vit_z</vt:lpstr>
      <vt:lpstr>Vsortie_de_rampe</vt:lpstr>
      <vt:lpstr>X_ail</vt:lpstr>
      <vt:lpstr>X_can</vt:lpstr>
      <vt:lpstr>X_culmi</vt:lpstr>
      <vt:lpstr>X_ini</vt:lpstr>
      <vt:lpstr>Stabilito!X_int</vt:lpstr>
      <vt:lpstr>X_j</vt:lpstr>
      <vt:lpstr>X_para</vt:lpstr>
      <vt:lpstr>X_r</vt:lpstr>
      <vt:lpstr>X_satellite</vt:lpstr>
      <vt:lpstr>XcgPlein</vt:lpstr>
      <vt:lpstr>XcgSans</vt:lpstr>
      <vt:lpstr>XcgVide</vt:lpstr>
      <vt:lpstr>Stabilito!XCp</vt:lpstr>
      <vt:lpstr>XCp0</vt:lpstr>
      <vt:lpstr>Stabilito!XCpa</vt:lpstr>
      <vt:lpstr>Stabilito!XCpai</vt:lpstr>
      <vt:lpstr>XCpai0</vt:lpstr>
      <vt:lpstr>Stabilito!XCpc</vt:lpstr>
      <vt:lpstr>Stabilito!XCpi</vt:lpstr>
      <vt:lpstr>XCpi0</vt:lpstr>
      <vt:lpstr>Stabilito!XCpj</vt:lpstr>
      <vt:lpstr>Stabilito!XCpo</vt:lpstr>
      <vt:lpstr>Stabilito!XCpr</vt:lpstr>
      <vt:lpstr>XpropuPlein</vt:lpstr>
      <vt:lpstr>XpropuRef</vt:lpstr>
      <vt:lpstr>XpropuVide</vt:lpstr>
      <vt:lpstr>Z_ini</vt:lpstr>
      <vt:lpstr>Abaco!Zone_d_impression</vt:lpstr>
      <vt:lpstr>Courbes!Zone_d_impression</vt:lpstr>
      <vt:lpstr>Stabilito!Zone_d_impression</vt:lpstr>
      <vt:lpstr>Trajecto!Zone_d_impression</vt:lpstr>
      <vt:lpstr>zZ_fus</vt:lpstr>
      <vt:lpstr>zZ_sat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StabTraj</dc:title>
  <dc:creator>Léo Côme;Sylvain Besson</dc:creator>
  <cp:lastModifiedBy>Alexis Paillard</cp:lastModifiedBy>
  <cp:lastPrinted>2011-11-08T21:12:34Z</cp:lastPrinted>
  <dcterms:created xsi:type="dcterms:W3CDTF">2008-11-03T20:48:06Z</dcterms:created>
  <dcterms:modified xsi:type="dcterms:W3CDTF">2025-05-04T07:54:29Z</dcterms:modified>
</cp:coreProperties>
</file>